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PivotChartFilter="1" defaultThemeVersion="124226"/>
  <mc:AlternateContent xmlns:mc="http://schemas.openxmlformats.org/markup-compatibility/2006">
    <mc:Choice Requires="x15">
      <x15ac:absPath xmlns:x15ac="http://schemas.microsoft.com/office/spreadsheetml/2010/11/ac" url="C:\Users\GeoNeu_Risk\Desktop\"/>
    </mc:Choice>
  </mc:AlternateContent>
  <bookViews>
    <workbookView xWindow="0" yWindow="0" windowWidth="22590" windowHeight="11115" activeTab="1"/>
  </bookViews>
  <sheets>
    <sheet name="Llistat total" sheetId="1" r:id="rId1"/>
    <sheet name="Llistat publicació" sheetId="5" r:id="rId2"/>
  </sheets>
  <definedNames>
    <definedName name="_xlnm._FilterDatabase" localSheetId="0" hidden="1">'Llistat total'!$A$1:$AQ$98</definedName>
    <definedName name="_xlnm.Print_Titles" localSheetId="1">'Llistat publicació'!$1:$1</definedName>
  </definedNames>
  <calcPr calcId="162913"/>
</workbook>
</file>

<file path=xl/calcChain.xml><?xml version="1.0" encoding="utf-8"?>
<calcChain xmlns="http://schemas.openxmlformats.org/spreadsheetml/2006/main">
  <c r="BB4" i="1" l="1"/>
  <c r="BB5" i="1"/>
  <c r="BF5" i="1" s="1"/>
  <c r="BB6" i="1"/>
  <c r="BN6" i="1" s="1"/>
  <c r="BB7" i="1"/>
  <c r="BF7" i="1" s="1"/>
  <c r="BB8" i="1"/>
  <c r="BB10" i="1"/>
  <c r="BN10" i="1" s="1"/>
  <c r="BB11" i="1"/>
  <c r="BF11" i="1" s="1"/>
  <c r="BB13" i="1"/>
  <c r="BF13" i="1" s="1"/>
  <c r="BB16" i="1"/>
  <c r="BB17" i="1"/>
  <c r="BF17" i="1" s="1"/>
  <c r="BB18" i="1"/>
  <c r="BN18" i="1" s="1"/>
  <c r="BB19" i="1"/>
  <c r="BF19" i="1" s="1"/>
  <c r="BB20" i="1"/>
  <c r="BB21" i="1"/>
  <c r="BF21" i="1" s="1"/>
  <c r="BB23" i="1"/>
  <c r="BN23" i="1" s="1"/>
  <c r="BB26" i="1"/>
  <c r="BB27" i="1"/>
  <c r="BF27" i="1" s="1"/>
  <c r="BB28" i="1"/>
  <c r="BN28" i="1" s="1"/>
  <c r="BB29" i="1"/>
  <c r="BF29" i="1" s="1"/>
  <c r="BB30" i="1"/>
  <c r="BB35" i="1"/>
  <c r="BN35" i="1" s="1"/>
  <c r="BB36" i="1"/>
  <c r="BF36" i="1" s="1"/>
  <c r="BB38" i="1"/>
  <c r="BF38" i="1" s="1"/>
  <c r="BB41" i="1"/>
  <c r="BF41" i="1" s="1"/>
  <c r="BB44" i="1"/>
  <c r="BF44" i="1" s="1"/>
  <c r="BB45" i="1"/>
  <c r="BN45" i="1" s="1"/>
  <c r="BB47" i="1"/>
  <c r="BF47" i="1" s="1"/>
  <c r="BB48" i="1"/>
  <c r="BB51" i="1"/>
  <c r="BF51" i="1" s="1"/>
  <c r="BB53" i="1"/>
  <c r="BN53" i="1" s="1"/>
  <c r="BB54" i="1"/>
  <c r="BF54" i="1" s="1"/>
  <c r="BB55" i="1"/>
  <c r="BB57" i="1"/>
  <c r="BN57" i="1" s="1"/>
  <c r="BB60" i="1"/>
  <c r="BF60" i="1" s="1"/>
  <c r="BB62" i="1"/>
  <c r="BF62" i="1" s="1"/>
  <c r="BB63" i="1"/>
  <c r="BB64" i="1"/>
  <c r="BF64" i="1" s="1"/>
  <c r="BB65" i="1"/>
  <c r="BN65" i="1" s="1"/>
  <c r="BB66" i="1"/>
  <c r="BF66" i="1" s="1"/>
  <c r="BB71" i="1"/>
  <c r="BF71" i="1" s="1"/>
  <c r="BB72" i="1"/>
  <c r="BB76" i="1"/>
  <c r="BF76" i="1" s="1"/>
  <c r="BB78" i="1"/>
  <c r="BB80" i="1"/>
  <c r="BN80" i="1" s="1"/>
  <c r="BB82" i="1"/>
  <c r="BF82" i="1" s="1"/>
  <c r="BB83" i="1"/>
  <c r="BF83" i="1" s="1"/>
  <c r="BB84" i="1"/>
  <c r="BN84" i="1" s="1"/>
  <c r="BB85" i="1"/>
  <c r="BF85" i="1" s="1"/>
  <c r="BB87" i="1"/>
  <c r="BF87" i="1" s="1"/>
  <c r="BB89" i="1"/>
  <c r="BF89" i="1" s="1"/>
  <c r="BB90" i="1"/>
  <c r="BB92" i="1"/>
  <c r="BF92" i="1" s="1"/>
  <c r="BB96" i="1"/>
  <c r="BB95" i="1"/>
  <c r="BF95" i="1" s="1"/>
  <c r="BB97" i="1"/>
  <c r="BN97" i="1" s="1"/>
  <c r="BA4" i="1"/>
  <c r="BA5" i="1"/>
  <c r="BM5" i="1" s="1"/>
  <c r="BA6" i="1"/>
  <c r="BA7" i="1"/>
  <c r="BA8" i="1"/>
  <c r="BA9" i="1"/>
  <c r="BM9" i="1" s="1"/>
  <c r="BA10" i="1"/>
  <c r="BA11" i="1"/>
  <c r="BA12" i="1"/>
  <c r="BA13" i="1"/>
  <c r="BM13" i="1" s="1"/>
  <c r="BA14" i="1"/>
  <c r="BA15" i="1"/>
  <c r="BA16" i="1"/>
  <c r="BA17" i="1"/>
  <c r="BM17" i="1" s="1"/>
  <c r="BA18" i="1"/>
  <c r="BA19" i="1"/>
  <c r="BA20" i="1"/>
  <c r="BA21" i="1"/>
  <c r="BM21" i="1" s="1"/>
  <c r="BA23" i="1"/>
  <c r="BA25" i="1"/>
  <c r="BA26" i="1"/>
  <c r="BA27" i="1"/>
  <c r="BM27" i="1" s="1"/>
  <c r="BA28" i="1"/>
  <c r="BA29" i="1"/>
  <c r="BA30" i="1"/>
  <c r="BA34" i="1"/>
  <c r="BM34" i="1" s="1"/>
  <c r="BA35" i="1"/>
  <c r="BA36" i="1"/>
  <c r="BA37" i="1"/>
  <c r="BA38" i="1"/>
  <c r="BM38" i="1" s="1"/>
  <c r="BA40" i="1"/>
  <c r="BA41" i="1"/>
  <c r="BA43" i="1"/>
  <c r="BA44" i="1"/>
  <c r="BM44" i="1" s="1"/>
  <c r="BA45" i="1"/>
  <c r="BA47" i="1"/>
  <c r="BA48" i="1"/>
  <c r="BA51" i="1"/>
  <c r="BM51" i="1" s="1"/>
  <c r="BA53" i="1"/>
  <c r="BA54" i="1"/>
  <c r="BA55" i="1"/>
  <c r="BA56" i="1"/>
  <c r="BM56" i="1" s="1"/>
  <c r="BA57" i="1"/>
  <c r="BA58" i="1"/>
  <c r="BA59" i="1"/>
  <c r="BA60" i="1"/>
  <c r="BM60" i="1" s="1"/>
  <c r="BA61" i="1"/>
  <c r="BA62" i="1"/>
  <c r="BA63" i="1"/>
  <c r="BA64" i="1"/>
  <c r="BM64" i="1" s="1"/>
  <c r="BA65" i="1"/>
  <c r="BM65" i="1" s="1"/>
  <c r="BA66" i="1"/>
  <c r="BM66" i="1" s="1"/>
  <c r="BA67" i="1"/>
  <c r="BM67" i="1" s="1"/>
  <c r="BA68" i="1"/>
  <c r="BM68" i="1" s="1"/>
  <c r="BA69" i="1"/>
  <c r="BM69" i="1" s="1"/>
  <c r="BA71" i="1"/>
  <c r="BM71" i="1" s="1"/>
  <c r="BA72" i="1"/>
  <c r="BM72" i="1" s="1"/>
  <c r="BA73" i="1"/>
  <c r="BM73" i="1" s="1"/>
  <c r="BA74" i="1"/>
  <c r="BM74" i="1" s="1"/>
  <c r="BA76" i="1"/>
  <c r="BM76" i="1" s="1"/>
  <c r="BA78" i="1"/>
  <c r="BM78" i="1" s="1"/>
  <c r="BA79" i="1"/>
  <c r="BM79" i="1" s="1"/>
  <c r="BA80" i="1"/>
  <c r="BM80" i="1" s="1"/>
  <c r="BA82" i="1"/>
  <c r="BM82" i="1" s="1"/>
  <c r="BA81" i="1"/>
  <c r="BM81" i="1" s="1"/>
  <c r="BA83" i="1"/>
  <c r="BM83" i="1" s="1"/>
  <c r="BA84" i="1"/>
  <c r="BM84" i="1" s="1"/>
  <c r="BA85" i="1"/>
  <c r="BM85" i="1" s="1"/>
  <c r="BA86" i="1"/>
  <c r="BM86" i="1" s="1"/>
  <c r="BA87" i="1"/>
  <c r="BM87" i="1" s="1"/>
  <c r="BA88" i="1"/>
  <c r="BM88" i="1" s="1"/>
  <c r="BA89" i="1"/>
  <c r="BM89" i="1" s="1"/>
  <c r="BA90" i="1"/>
  <c r="BM90" i="1" s="1"/>
  <c r="BA92" i="1"/>
  <c r="BM92" i="1" s="1"/>
  <c r="BA93" i="1"/>
  <c r="BM93" i="1" s="1"/>
  <c r="BA94" i="1"/>
  <c r="BM94" i="1" s="1"/>
  <c r="BA96" i="1"/>
  <c r="BM96" i="1" s="1"/>
  <c r="BA95" i="1"/>
  <c r="BM95" i="1" s="1"/>
  <c r="BA97" i="1"/>
  <c r="BM97" i="1" s="1"/>
  <c r="BA49" i="1"/>
  <c r="BM49" i="1" s="1"/>
  <c r="BA33" i="1"/>
  <c r="BM33" i="1" s="1"/>
  <c r="BA50" i="1"/>
  <c r="BM50" i="1" s="1"/>
  <c r="BA91" i="1"/>
  <c r="BM91" i="1" s="1"/>
  <c r="BA70" i="1"/>
  <c r="BM70" i="1" s="1"/>
  <c r="BA52" i="1"/>
  <c r="BM52" i="1" s="1"/>
  <c r="BA3" i="1"/>
  <c r="BM3" i="1" s="1"/>
  <c r="BA22" i="1"/>
  <c r="BM22" i="1" s="1"/>
  <c r="BA24" i="1"/>
  <c r="BM24" i="1" s="1"/>
  <c r="BA31" i="1"/>
  <c r="BM31" i="1" s="1"/>
  <c r="BA32" i="1"/>
  <c r="BM32" i="1" s="1"/>
  <c r="BA39" i="1"/>
  <c r="BM39" i="1" s="1"/>
  <c r="BA42" i="1"/>
  <c r="BM42" i="1" s="1"/>
  <c r="BA46" i="1"/>
  <c r="BM46" i="1" s="1"/>
  <c r="BA75" i="1"/>
  <c r="BM75" i="1" s="1"/>
  <c r="BA98" i="1"/>
  <c r="BM98" i="1" s="1"/>
  <c r="BA77" i="1"/>
  <c r="BM77" i="1" s="1"/>
  <c r="BA2" i="1"/>
  <c r="BM2" i="1" s="1"/>
  <c r="BQ4" i="1"/>
  <c r="BQ5" i="1"/>
  <c r="BQ6" i="1"/>
  <c r="BQ7" i="1"/>
  <c r="BQ8" i="1"/>
  <c r="BQ9" i="1"/>
  <c r="BQ10" i="1"/>
  <c r="BQ11" i="1"/>
  <c r="BQ12" i="1"/>
  <c r="BQ13" i="1"/>
  <c r="BQ14" i="1"/>
  <c r="BQ15" i="1"/>
  <c r="BQ16" i="1"/>
  <c r="BQ17" i="1"/>
  <c r="BQ18" i="1"/>
  <c r="BQ19" i="1"/>
  <c r="BQ20" i="1"/>
  <c r="BQ21" i="1"/>
  <c r="BQ23" i="1"/>
  <c r="BQ25" i="1"/>
  <c r="BQ26" i="1"/>
  <c r="BQ27" i="1"/>
  <c r="BQ28" i="1"/>
  <c r="BQ29" i="1"/>
  <c r="BQ30" i="1"/>
  <c r="BQ34" i="1"/>
  <c r="BQ35" i="1"/>
  <c r="BQ36" i="1"/>
  <c r="BQ37" i="1"/>
  <c r="BQ38" i="1"/>
  <c r="BQ40" i="1"/>
  <c r="BQ41" i="1"/>
  <c r="BQ43" i="1"/>
  <c r="BQ44" i="1"/>
  <c r="BQ45" i="1"/>
  <c r="BQ47" i="1"/>
  <c r="BQ48" i="1"/>
  <c r="BQ51" i="1"/>
  <c r="BQ53" i="1"/>
  <c r="BQ54" i="1"/>
  <c r="BQ55" i="1"/>
  <c r="BQ56" i="1"/>
  <c r="BQ57" i="1"/>
  <c r="BQ58" i="1"/>
  <c r="BQ59" i="1"/>
  <c r="BQ60" i="1"/>
  <c r="BQ61" i="1"/>
  <c r="BQ62" i="1"/>
  <c r="BQ63" i="1"/>
  <c r="BQ64" i="1"/>
  <c r="BQ65" i="1"/>
  <c r="BQ66" i="1"/>
  <c r="BQ67" i="1"/>
  <c r="BQ68" i="1"/>
  <c r="BQ69" i="1"/>
  <c r="BQ71" i="1"/>
  <c r="BQ72" i="1"/>
  <c r="BQ73" i="1"/>
  <c r="BQ74" i="1"/>
  <c r="BQ76" i="1"/>
  <c r="BQ78" i="1"/>
  <c r="BQ79" i="1"/>
  <c r="BQ80" i="1"/>
  <c r="BQ82" i="1"/>
  <c r="BQ81" i="1"/>
  <c r="BQ83" i="1"/>
  <c r="BQ84" i="1"/>
  <c r="BQ85" i="1"/>
  <c r="BQ86" i="1"/>
  <c r="BQ87" i="1"/>
  <c r="BQ88" i="1"/>
  <c r="BQ89" i="1"/>
  <c r="BQ90" i="1"/>
  <c r="BQ92" i="1"/>
  <c r="BQ93" i="1"/>
  <c r="BQ94" i="1"/>
  <c r="BQ96" i="1"/>
  <c r="BQ95" i="1"/>
  <c r="BQ97" i="1"/>
  <c r="BQ49" i="1"/>
  <c r="BQ33" i="1"/>
  <c r="BQ50" i="1"/>
  <c r="BQ91" i="1"/>
  <c r="BQ70" i="1"/>
  <c r="BQ52" i="1"/>
  <c r="BQ3" i="1"/>
  <c r="BQ22" i="1"/>
  <c r="BQ24" i="1"/>
  <c r="BQ31" i="1"/>
  <c r="BQ32" i="1"/>
  <c r="BQ39" i="1"/>
  <c r="BQ42" i="1"/>
  <c r="BQ46" i="1"/>
  <c r="BQ75" i="1"/>
  <c r="BQ98" i="1"/>
  <c r="BQ77" i="1"/>
  <c r="BQ2" i="1"/>
  <c r="BO4" i="1"/>
  <c r="BO5" i="1"/>
  <c r="BO6" i="1"/>
  <c r="BO7" i="1"/>
  <c r="BO8" i="1"/>
  <c r="BO9" i="1"/>
  <c r="BO10" i="1"/>
  <c r="BO11" i="1"/>
  <c r="BO12" i="1"/>
  <c r="BO13" i="1"/>
  <c r="BO14" i="1"/>
  <c r="BO15" i="1"/>
  <c r="BO16" i="1"/>
  <c r="BO17" i="1"/>
  <c r="BO18" i="1"/>
  <c r="BO19" i="1"/>
  <c r="BO20" i="1"/>
  <c r="BO21" i="1"/>
  <c r="BO23" i="1"/>
  <c r="BO25" i="1"/>
  <c r="BO26" i="1"/>
  <c r="BO27" i="1"/>
  <c r="BO28" i="1"/>
  <c r="BO29" i="1"/>
  <c r="BO30" i="1"/>
  <c r="BO34" i="1"/>
  <c r="BO35" i="1"/>
  <c r="BO36" i="1"/>
  <c r="BO37" i="1"/>
  <c r="BO38" i="1"/>
  <c r="BO40" i="1"/>
  <c r="BO41" i="1"/>
  <c r="BO43" i="1"/>
  <c r="BO44" i="1"/>
  <c r="BO45" i="1"/>
  <c r="BO47" i="1"/>
  <c r="BO48" i="1"/>
  <c r="BO51" i="1"/>
  <c r="BO53" i="1"/>
  <c r="BO54" i="1"/>
  <c r="BO55" i="1"/>
  <c r="BO56" i="1"/>
  <c r="BO57" i="1"/>
  <c r="BO58" i="1"/>
  <c r="BO59" i="1"/>
  <c r="BO60" i="1"/>
  <c r="BO61" i="1"/>
  <c r="BO62" i="1"/>
  <c r="BO63" i="1"/>
  <c r="BO64" i="1"/>
  <c r="BO65" i="1"/>
  <c r="BO66" i="1"/>
  <c r="BO67" i="1"/>
  <c r="BO68" i="1"/>
  <c r="BO69" i="1"/>
  <c r="BO71" i="1"/>
  <c r="BO72" i="1"/>
  <c r="BO73" i="1"/>
  <c r="BO74" i="1"/>
  <c r="BO76" i="1"/>
  <c r="BO78" i="1"/>
  <c r="BO79" i="1"/>
  <c r="BO80" i="1"/>
  <c r="BO82" i="1"/>
  <c r="BO81" i="1"/>
  <c r="BO83" i="1"/>
  <c r="BO84" i="1"/>
  <c r="BO85" i="1"/>
  <c r="BO86" i="1"/>
  <c r="BO87" i="1"/>
  <c r="BO88" i="1"/>
  <c r="BO89" i="1"/>
  <c r="BO90" i="1"/>
  <c r="BO92" i="1"/>
  <c r="BO93" i="1"/>
  <c r="BO94" i="1"/>
  <c r="BO96" i="1"/>
  <c r="BO95" i="1"/>
  <c r="BO97" i="1"/>
  <c r="BO49" i="1"/>
  <c r="BO33" i="1"/>
  <c r="BO50" i="1"/>
  <c r="BO91" i="1"/>
  <c r="BO70" i="1"/>
  <c r="BO52" i="1"/>
  <c r="BO3" i="1"/>
  <c r="BO22" i="1"/>
  <c r="BO24" i="1"/>
  <c r="BO31" i="1"/>
  <c r="BO32" i="1"/>
  <c r="BO39" i="1"/>
  <c r="BO42" i="1"/>
  <c r="BO46" i="1"/>
  <c r="BO75" i="1"/>
  <c r="BO98" i="1"/>
  <c r="BO77" i="1"/>
  <c r="BO2" i="1"/>
  <c r="BE42" i="1" l="1"/>
  <c r="BE89" i="1"/>
  <c r="BE82" i="1"/>
  <c r="BE71" i="1"/>
  <c r="BE60" i="1"/>
  <c r="BE38" i="1"/>
  <c r="BE17" i="1"/>
  <c r="BF80" i="1"/>
  <c r="BF10" i="1"/>
  <c r="BN92" i="1"/>
  <c r="BN87" i="1"/>
  <c r="BN83" i="1"/>
  <c r="BN76" i="1"/>
  <c r="BN66" i="1"/>
  <c r="BN62" i="1"/>
  <c r="BN54" i="1"/>
  <c r="BN47" i="1"/>
  <c r="BN41" i="1"/>
  <c r="BN36" i="1"/>
  <c r="BN27" i="1"/>
  <c r="BN19" i="1"/>
  <c r="BN13" i="1"/>
  <c r="BN7" i="1"/>
  <c r="BE77" i="1"/>
  <c r="BE94" i="1"/>
  <c r="BE85" i="1"/>
  <c r="BE76" i="1"/>
  <c r="BE66" i="1"/>
  <c r="BE51" i="1"/>
  <c r="BE27" i="1"/>
  <c r="BE9" i="1"/>
  <c r="BF28" i="1"/>
  <c r="BN95" i="1"/>
  <c r="BN89" i="1"/>
  <c r="BN85" i="1"/>
  <c r="BN82" i="1"/>
  <c r="BN71" i="1"/>
  <c r="BN64" i="1"/>
  <c r="BN60" i="1"/>
  <c r="BN51" i="1"/>
  <c r="BN44" i="1"/>
  <c r="BN38" i="1"/>
  <c r="BN29" i="1"/>
  <c r="BN21" i="1"/>
  <c r="BN17" i="1"/>
  <c r="BN11" i="1"/>
  <c r="BN5" i="1"/>
  <c r="BN96" i="1"/>
  <c r="BF96" i="1"/>
  <c r="BN78" i="1"/>
  <c r="BF78" i="1"/>
  <c r="BN63" i="1"/>
  <c r="BF63" i="1"/>
  <c r="BN55" i="1"/>
  <c r="BF55" i="1"/>
  <c r="BN48" i="1"/>
  <c r="BF48" i="1"/>
  <c r="BN20" i="1"/>
  <c r="BF20" i="1"/>
  <c r="BN16" i="1"/>
  <c r="BF16" i="1"/>
  <c r="BN8" i="1"/>
  <c r="BF8" i="1"/>
  <c r="BN4" i="1"/>
  <c r="BF4" i="1"/>
  <c r="BF97" i="1"/>
  <c r="BF53" i="1"/>
  <c r="BF18" i="1"/>
  <c r="BM62" i="1"/>
  <c r="BE62" i="1"/>
  <c r="BM58" i="1"/>
  <c r="BM54" i="1"/>
  <c r="BE54" i="1"/>
  <c r="BM47" i="1"/>
  <c r="BE47" i="1"/>
  <c r="BM41" i="1"/>
  <c r="BE41" i="1"/>
  <c r="BM36" i="1"/>
  <c r="BE36" i="1"/>
  <c r="BM29" i="1"/>
  <c r="BE29" i="1"/>
  <c r="BM25" i="1"/>
  <c r="BM19" i="1"/>
  <c r="BE19" i="1"/>
  <c r="BM15" i="1"/>
  <c r="BM11" i="1"/>
  <c r="BE11" i="1"/>
  <c r="BM7" i="1"/>
  <c r="BE7" i="1"/>
  <c r="BN90" i="1"/>
  <c r="BF90" i="1"/>
  <c r="BN72" i="1"/>
  <c r="BF72" i="1"/>
  <c r="BN30" i="1"/>
  <c r="BF30" i="1"/>
  <c r="BN26" i="1"/>
  <c r="BF26" i="1"/>
  <c r="BE95" i="1"/>
  <c r="BE92" i="1"/>
  <c r="BE87" i="1"/>
  <c r="BE83" i="1"/>
  <c r="BE68" i="1"/>
  <c r="BE64" i="1"/>
  <c r="BE44" i="1"/>
  <c r="BE21" i="1"/>
  <c r="BE13" i="1"/>
  <c r="BE5" i="1"/>
  <c r="BF84" i="1"/>
  <c r="BF65" i="1"/>
  <c r="BF57" i="1"/>
  <c r="BF45" i="1"/>
  <c r="BF35" i="1"/>
  <c r="BF23" i="1"/>
  <c r="BF6" i="1"/>
  <c r="BM63" i="1"/>
  <c r="BE63" i="1"/>
  <c r="BM61" i="1"/>
  <c r="BE61" i="1"/>
  <c r="BM59" i="1"/>
  <c r="BM57" i="1"/>
  <c r="BE57" i="1"/>
  <c r="BM55" i="1"/>
  <c r="BE55" i="1"/>
  <c r="BM53" i="1"/>
  <c r="BE53" i="1"/>
  <c r="BM48" i="1"/>
  <c r="BE48" i="1"/>
  <c r="BM45" i="1"/>
  <c r="BE45" i="1"/>
  <c r="BM43" i="1"/>
  <c r="BM40" i="1"/>
  <c r="BM37" i="1"/>
  <c r="BM35" i="1"/>
  <c r="BE35" i="1"/>
  <c r="BM30" i="1"/>
  <c r="BE30" i="1"/>
  <c r="BM28" i="1"/>
  <c r="BE28" i="1"/>
  <c r="BM26" i="1"/>
  <c r="BE26" i="1"/>
  <c r="BM23" i="1"/>
  <c r="BE23" i="1"/>
  <c r="BM20" i="1"/>
  <c r="BE20" i="1"/>
  <c r="BM18" i="1"/>
  <c r="BE18" i="1"/>
  <c r="BM16" i="1"/>
  <c r="BE16" i="1"/>
  <c r="BM14" i="1"/>
  <c r="BM12" i="1"/>
  <c r="BM10" i="1"/>
  <c r="BE10" i="1"/>
  <c r="BM8" i="1"/>
  <c r="BE8" i="1"/>
  <c r="BM6" i="1"/>
  <c r="BE6" i="1"/>
  <c r="BM4" i="1"/>
  <c r="BE4" i="1"/>
  <c r="BE97" i="1"/>
  <c r="BE96" i="1"/>
  <c r="BE93" i="1"/>
  <c r="BE90" i="1"/>
  <c r="BE86" i="1"/>
  <c r="BE84" i="1"/>
  <c r="BE80" i="1"/>
  <c r="BE78" i="1"/>
  <c r="BE72" i="1"/>
  <c r="BE69" i="1"/>
  <c r="BE67" i="1"/>
  <c r="BE65" i="1"/>
  <c r="BG4" i="1"/>
  <c r="BG5" i="1"/>
  <c r="BG6" i="1"/>
  <c r="BG7" i="1"/>
  <c r="BG8" i="1"/>
  <c r="BG9" i="1"/>
  <c r="BG10" i="1"/>
  <c r="BG11" i="1"/>
  <c r="BG12" i="1"/>
  <c r="BG13" i="1"/>
  <c r="BG14" i="1"/>
  <c r="BG15" i="1"/>
  <c r="BG16" i="1"/>
  <c r="BG17" i="1"/>
  <c r="BG18" i="1"/>
  <c r="BG19" i="1"/>
  <c r="BG20" i="1"/>
  <c r="BG21" i="1"/>
  <c r="BG23" i="1"/>
  <c r="BG25" i="1"/>
  <c r="BG26" i="1"/>
  <c r="BG27" i="1"/>
  <c r="BG28" i="1"/>
  <c r="BG29" i="1"/>
  <c r="BG30" i="1"/>
  <c r="BG34" i="1"/>
  <c r="BG35" i="1"/>
  <c r="BG36" i="1"/>
  <c r="BG37" i="1"/>
  <c r="BG38" i="1"/>
  <c r="BG40" i="1"/>
  <c r="BG41" i="1"/>
  <c r="BG43" i="1"/>
  <c r="BG44" i="1"/>
  <c r="BG45" i="1"/>
  <c r="BG47" i="1"/>
  <c r="BG48" i="1"/>
  <c r="BG51" i="1"/>
  <c r="BG53" i="1"/>
  <c r="BG54" i="1"/>
  <c r="BG55" i="1"/>
  <c r="BG56" i="1"/>
  <c r="BG57" i="1"/>
  <c r="BG58" i="1"/>
  <c r="BG59" i="1"/>
  <c r="BG60" i="1"/>
  <c r="BG61" i="1"/>
  <c r="BG62" i="1"/>
  <c r="BG63" i="1"/>
  <c r="BG64" i="1"/>
  <c r="BG65" i="1"/>
  <c r="BG66" i="1"/>
  <c r="BG67" i="1"/>
  <c r="BG68" i="1"/>
  <c r="BG69" i="1"/>
  <c r="BG71" i="1"/>
  <c r="BG72" i="1"/>
  <c r="BG73" i="1"/>
  <c r="BG74" i="1"/>
  <c r="BG76" i="1"/>
  <c r="BG78" i="1"/>
  <c r="BG79" i="1"/>
  <c r="BG80" i="1"/>
  <c r="BG82" i="1"/>
  <c r="BG81" i="1"/>
  <c r="BG83" i="1"/>
  <c r="BG84" i="1"/>
  <c r="BG85" i="1"/>
  <c r="BG86" i="1"/>
  <c r="BG87" i="1"/>
  <c r="BG88" i="1"/>
  <c r="BG89" i="1"/>
  <c r="BG90" i="1"/>
  <c r="BG92" i="1"/>
  <c r="BG93" i="1"/>
  <c r="BG94" i="1"/>
  <c r="BG96" i="1"/>
  <c r="BG95" i="1"/>
  <c r="BG97" i="1"/>
  <c r="BG49" i="1"/>
  <c r="BG33" i="1"/>
  <c r="BG50" i="1"/>
  <c r="BG91" i="1"/>
  <c r="BG70" i="1"/>
  <c r="BG52" i="1"/>
  <c r="BG3" i="1"/>
  <c r="BG22" i="1"/>
  <c r="BG24" i="1"/>
  <c r="BG31" i="1"/>
  <c r="BG32" i="1"/>
  <c r="BG39" i="1"/>
  <c r="BG42" i="1"/>
  <c r="BG46" i="1"/>
  <c r="BG75" i="1"/>
  <c r="BG98" i="1"/>
  <c r="BG77" i="1"/>
  <c r="BG2" i="1"/>
  <c r="CC11" i="1" l="1"/>
  <c r="CC69" i="1"/>
  <c r="CC56" i="1"/>
  <c r="CC21" i="1"/>
  <c r="CC55" i="1"/>
  <c r="CC8" i="1"/>
  <c r="CC24" i="1"/>
  <c r="CC94" i="1"/>
  <c r="CC54" i="1"/>
  <c r="CC7" i="1"/>
  <c r="CC72" i="1"/>
  <c r="CC93" i="1"/>
  <c r="CC6" i="1"/>
  <c r="CC22" i="1"/>
  <c r="CC71" i="1"/>
  <c r="CC53" i="1"/>
  <c r="CC92" i="1"/>
  <c r="CC41" i="1"/>
  <c r="CC65" i="1"/>
  <c r="CC3" i="1"/>
  <c r="CC48" i="1"/>
  <c r="CC4" i="1"/>
  <c r="CC47" i="1"/>
  <c r="CC58" i="1"/>
  <c r="CC17" i="1"/>
  <c r="CC70" i="1"/>
  <c r="CC76" i="1"/>
  <c r="CC15" i="1"/>
  <c r="CC98" i="1"/>
  <c r="CC91" i="1"/>
  <c r="CC45" i="1"/>
  <c r="CC14" i="1"/>
  <c r="CC64" i="1"/>
  <c r="CC52" i="1"/>
  <c r="CC16" i="1"/>
  <c r="CC77" i="1"/>
  <c r="CC50" i="1"/>
  <c r="CC44" i="1"/>
  <c r="CC12" i="1"/>
  <c r="CC43" i="1"/>
  <c r="CC57" i="1"/>
  <c r="CC10" i="1"/>
  <c r="CC68" i="1"/>
  <c r="CC9" i="1"/>
  <c r="AG95" i="1"/>
  <c r="AH95" i="1"/>
  <c r="AG97" i="1"/>
  <c r="AH97" i="1"/>
  <c r="O4" i="1"/>
  <c r="O5" i="1"/>
  <c r="O6" i="1"/>
  <c r="O7" i="1"/>
  <c r="O8" i="1"/>
  <c r="O9" i="1"/>
  <c r="O10" i="1"/>
  <c r="O11" i="1"/>
  <c r="O12" i="1"/>
  <c r="O13" i="1"/>
  <c r="O14" i="1"/>
  <c r="O15" i="1"/>
  <c r="O16" i="1"/>
  <c r="O17" i="1"/>
  <c r="O18" i="1"/>
  <c r="O19" i="1"/>
  <c r="O20" i="1"/>
  <c r="O21" i="1"/>
  <c r="O23" i="1"/>
  <c r="O25" i="1"/>
  <c r="O26" i="1"/>
  <c r="O27" i="1"/>
  <c r="O28" i="1"/>
  <c r="O29" i="1"/>
  <c r="O30" i="1"/>
  <c r="O34" i="1"/>
  <c r="O35" i="1"/>
  <c r="O36" i="1"/>
  <c r="O37" i="1"/>
  <c r="O38" i="1"/>
  <c r="O40" i="1"/>
  <c r="O41" i="1"/>
  <c r="O43" i="1"/>
  <c r="O44" i="1"/>
  <c r="O45" i="1"/>
  <c r="O47" i="1"/>
  <c r="O48" i="1"/>
  <c r="O51" i="1"/>
  <c r="O53" i="1"/>
  <c r="O54" i="1"/>
  <c r="O55" i="1"/>
  <c r="O56" i="1"/>
  <c r="O57" i="1"/>
  <c r="O58" i="1"/>
  <c r="O59" i="1"/>
  <c r="O60" i="1"/>
  <c r="O61" i="1"/>
  <c r="O62" i="1"/>
  <c r="O63" i="1"/>
  <c r="O64" i="1"/>
  <c r="O65" i="1"/>
  <c r="O66" i="1"/>
  <c r="O67" i="1"/>
  <c r="O68" i="1"/>
  <c r="O69" i="1"/>
  <c r="O71" i="1"/>
  <c r="O72" i="1"/>
  <c r="O73" i="1"/>
  <c r="O74" i="1"/>
  <c r="O76" i="1"/>
  <c r="O78" i="1"/>
  <c r="O79" i="1"/>
  <c r="O80" i="1"/>
  <c r="O82" i="1"/>
  <c r="O81" i="1"/>
  <c r="O83" i="1"/>
  <c r="O84" i="1"/>
  <c r="O85" i="1"/>
  <c r="O86" i="1"/>
  <c r="O87" i="1"/>
  <c r="O88" i="1"/>
  <c r="O89" i="1"/>
  <c r="O90" i="1"/>
  <c r="O92" i="1"/>
  <c r="O93" i="1"/>
  <c r="O94" i="1"/>
  <c r="O96" i="1"/>
  <c r="O95" i="1"/>
  <c r="O97" i="1"/>
  <c r="O49" i="1"/>
  <c r="O33" i="1"/>
  <c r="O50" i="1"/>
  <c r="O91" i="1"/>
  <c r="O70" i="1"/>
  <c r="O52" i="1"/>
  <c r="O3" i="1"/>
  <c r="O22" i="1"/>
  <c r="O24" i="1"/>
  <c r="O31" i="1"/>
  <c r="O32" i="1"/>
  <c r="O39" i="1"/>
  <c r="O42" i="1"/>
  <c r="O46" i="1"/>
  <c r="O75" i="1"/>
  <c r="O98" i="1"/>
  <c r="O77" i="1"/>
  <c r="O2" i="1"/>
  <c r="BH2" i="1" l="1"/>
  <c r="BR2" i="1"/>
  <c r="BH98" i="1"/>
  <c r="BR98" i="1"/>
  <c r="BH39" i="1"/>
  <c r="BR39" i="1"/>
  <c r="BH31" i="1"/>
  <c r="BR31" i="1"/>
  <c r="BH22" i="1"/>
  <c r="BR22" i="1"/>
  <c r="BH91" i="1"/>
  <c r="BR91" i="1"/>
  <c r="BH33" i="1"/>
  <c r="BR33" i="1"/>
  <c r="BH96" i="1"/>
  <c r="BR96" i="1"/>
  <c r="BH93" i="1"/>
  <c r="BR93" i="1"/>
  <c r="BH90" i="1"/>
  <c r="BR90" i="1"/>
  <c r="BH86" i="1"/>
  <c r="BR86" i="1"/>
  <c r="BH84" i="1"/>
  <c r="BR84" i="1"/>
  <c r="BH81" i="1"/>
  <c r="BR81" i="1"/>
  <c r="BH78" i="1"/>
  <c r="BR78" i="1"/>
  <c r="BH74" i="1"/>
  <c r="BR74" i="1"/>
  <c r="BH72" i="1"/>
  <c r="BR72" i="1"/>
  <c r="BH67" i="1"/>
  <c r="BR67" i="1"/>
  <c r="BH65" i="1"/>
  <c r="BR65" i="1"/>
  <c r="BH63" i="1"/>
  <c r="BR63" i="1"/>
  <c r="BH59" i="1"/>
  <c r="BR59" i="1"/>
  <c r="BH57" i="1"/>
  <c r="BR57" i="1"/>
  <c r="BH53" i="1"/>
  <c r="BR53" i="1"/>
  <c r="BH48" i="1"/>
  <c r="BR48" i="1"/>
  <c r="BH45" i="1"/>
  <c r="BR45" i="1"/>
  <c r="BH40" i="1"/>
  <c r="BR40" i="1"/>
  <c r="BH37" i="1"/>
  <c r="BR37" i="1"/>
  <c r="BH35" i="1"/>
  <c r="BR35" i="1"/>
  <c r="BH28" i="1"/>
  <c r="BR28" i="1"/>
  <c r="BH26" i="1"/>
  <c r="BR26" i="1"/>
  <c r="BH23" i="1"/>
  <c r="BR23" i="1"/>
  <c r="BH18" i="1"/>
  <c r="BR18" i="1"/>
  <c r="BH16" i="1"/>
  <c r="BR16" i="1"/>
  <c r="BH14" i="1"/>
  <c r="BR14" i="1"/>
  <c r="BH12" i="1"/>
  <c r="BR12" i="1"/>
  <c r="BH8" i="1"/>
  <c r="BR8" i="1"/>
  <c r="BH6" i="1"/>
  <c r="BR6" i="1"/>
  <c r="BH4" i="1"/>
  <c r="BR4" i="1"/>
  <c r="BH77" i="1"/>
  <c r="BR77" i="1"/>
  <c r="BH75" i="1"/>
  <c r="BR75" i="1"/>
  <c r="BH42" i="1"/>
  <c r="BR42" i="1"/>
  <c r="BH32" i="1"/>
  <c r="BR32" i="1"/>
  <c r="BH24" i="1"/>
  <c r="BR24" i="1"/>
  <c r="BH3" i="1"/>
  <c r="BR3" i="1"/>
  <c r="BH70" i="1"/>
  <c r="BR70" i="1"/>
  <c r="BH50" i="1"/>
  <c r="BR50" i="1"/>
  <c r="BH49" i="1"/>
  <c r="BR49" i="1"/>
  <c r="BH95" i="1"/>
  <c r="BR95" i="1"/>
  <c r="BH94" i="1"/>
  <c r="BR94" i="1"/>
  <c r="BH92" i="1"/>
  <c r="BR92" i="1"/>
  <c r="BH89" i="1"/>
  <c r="BR89" i="1"/>
  <c r="BH87" i="1"/>
  <c r="BR87" i="1"/>
  <c r="BH85" i="1"/>
  <c r="BR85" i="1"/>
  <c r="BH83" i="1"/>
  <c r="BR83" i="1"/>
  <c r="BH82" i="1"/>
  <c r="BR82" i="1"/>
  <c r="BH79" i="1"/>
  <c r="BR79" i="1"/>
  <c r="BH76" i="1"/>
  <c r="BR76" i="1"/>
  <c r="BH73" i="1"/>
  <c r="BR73" i="1"/>
  <c r="BH71" i="1"/>
  <c r="BR71" i="1"/>
  <c r="BH68" i="1"/>
  <c r="BR68" i="1"/>
  <c r="BH66" i="1"/>
  <c r="BR66" i="1"/>
  <c r="BH64" i="1"/>
  <c r="BR64" i="1"/>
  <c r="BH62" i="1"/>
  <c r="BR62" i="1"/>
  <c r="BH60" i="1"/>
  <c r="BR60" i="1"/>
  <c r="BH58" i="1"/>
  <c r="BR58" i="1"/>
  <c r="BH56" i="1"/>
  <c r="BR56" i="1"/>
  <c r="BH54" i="1"/>
  <c r="BR54" i="1"/>
  <c r="BH51" i="1"/>
  <c r="BR51" i="1"/>
  <c r="BH47" i="1"/>
  <c r="BR47" i="1"/>
  <c r="BH44" i="1"/>
  <c r="BR44" i="1"/>
  <c r="BH41" i="1"/>
  <c r="BR41" i="1"/>
  <c r="BH38" i="1"/>
  <c r="BR38" i="1"/>
  <c r="BH36" i="1"/>
  <c r="BR36" i="1"/>
  <c r="BH34" i="1"/>
  <c r="BR34" i="1"/>
  <c r="BH29" i="1"/>
  <c r="BR29" i="1"/>
  <c r="BH27" i="1"/>
  <c r="BR27" i="1"/>
  <c r="BH25" i="1"/>
  <c r="BR25" i="1"/>
  <c r="BH21" i="1"/>
  <c r="BR21" i="1"/>
  <c r="BH19" i="1"/>
  <c r="BR19" i="1"/>
  <c r="BH17" i="1"/>
  <c r="BR17" i="1"/>
  <c r="BH15" i="1"/>
  <c r="BR15" i="1"/>
  <c r="BH13" i="1"/>
  <c r="BR13" i="1"/>
  <c r="BH11" i="1"/>
  <c r="BR11" i="1"/>
  <c r="BH9" i="1"/>
  <c r="BR9" i="1"/>
  <c r="BH7" i="1"/>
  <c r="BR7" i="1"/>
  <c r="BH5" i="1"/>
  <c r="BR5" i="1"/>
  <c r="BH46" i="1"/>
  <c r="BR46" i="1"/>
  <c r="BH52" i="1"/>
  <c r="BR52" i="1"/>
  <c r="BH97" i="1"/>
  <c r="BR97" i="1"/>
  <c r="BH88" i="1"/>
  <c r="BR88" i="1"/>
  <c r="BH80" i="1"/>
  <c r="BR80" i="1"/>
  <c r="BH69" i="1"/>
  <c r="BR69" i="1"/>
  <c r="BH61" i="1"/>
  <c r="BR61" i="1"/>
  <c r="BH55" i="1"/>
  <c r="BR55" i="1"/>
  <c r="BH43" i="1"/>
  <c r="BR43" i="1"/>
  <c r="BH30" i="1"/>
  <c r="BR30" i="1"/>
  <c r="BH20" i="1"/>
  <c r="BR20" i="1"/>
  <c r="BH10" i="1"/>
  <c r="BR10" i="1"/>
  <c r="AM76" i="1"/>
  <c r="AL76" i="1"/>
  <c r="AC70" i="1" l="1"/>
  <c r="Y56" i="1"/>
  <c r="X25" i="1"/>
  <c r="X37" i="1"/>
  <c r="X40" i="1"/>
  <c r="X58" i="1"/>
  <c r="X95" i="1"/>
  <c r="X49" i="1"/>
  <c r="X33" i="1"/>
  <c r="X50" i="1"/>
  <c r="X52" i="1"/>
  <c r="X22" i="1"/>
  <c r="X31" i="1"/>
  <c r="X32" i="1"/>
  <c r="X39" i="1"/>
  <c r="X42" i="1"/>
  <c r="X46" i="1"/>
  <c r="X75" i="1"/>
  <c r="X98" i="1"/>
  <c r="T4" i="1"/>
  <c r="T5" i="1"/>
  <c r="T6" i="1"/>
  <c r="T7" i="1"/>
  <c r="T10" i="1"/>
  <c r="T11" i="1"/>
  <c r="T12" i="1"/>
  <c r="T14" i="1"/>
  <c r="T15" i="1"/>
  <c r="T16" i="1"/>
  <c r="T17" i="1"/>
  <c r="T18" i="1"/>
  <c r="T20" i="1"/>
  <c r="T21" i="1"/>
  <c r="T23" i="1"/>
  <c r="T25" i="1"/>
  <c r="T26" i="1"/>
  <c r="T27" i="1"/>
  <c r="T28" i="1"/>
  <c r="T29" i="1"/>
  <c r="T35" i="1"/>
  <c r="T36" i="1"/>
  <c r="T37" i="1"/>
  <c r="T38" i="1"/>
  <c r="T40" i="1"/>
  <c r="T44" i="1"/>
  <c r="T45" i="1"/>
  <c r="T47" i="1"/>
  <c r="T48" i="1"/>
  <c r="T51" i="1"/>
  <c r="T53" i="1"/>
  <c r="T54" i="1"/>
  <c r="T55" i="1"/>
  <c r="T56" i="1"/>
  <c r="T57" i="1"/>
  <c r="T58" i="1"/>
  <c r="T59" i="1"/>
  <c r="T60" i="1"/>
  <c r="T64" i="1"/>
  <c r="T65" i="1"/>
  <c r="T66" i="1"/>
  <c r="T71" i="1"/>
  <c r="T72" i="1"/>
  <c r="T73" i="1"/>
  <c r="T74" i="1"/>
  <c r="T76" i="1"/>
  <c r="T78" i="1"/>
  <c r="T79" i="1"/>
  <c r="T80" i="1"/>
  <c r="T82" i="1"/>
  <c r="T81" i="1"/>
  <c r="T84" i="1"/>
  <c r="T85" i="1"/>
  <c r="T86" i="1"/>
  <c r="T87" i="1"/>
  <c r="T88" i="1"/>
  <c r="T89" i="1"/>
  <c r="T92" i="1"/>
  <c r="T96" i="1"/>
  <c r="T95" i="1"/>
  <c r="T97" i="1"/>
  <c r="T3" i="1"/>
  <c r="T24" i="1"/>
  <c r="T39" i="1"/>
  <c r="T46" i="1"/>
  <c r="T77" i="1"/>
  <c r="L69" i="1" l="1"/>
  <c r="M69" i="1" s="1"/>
  <c r="BP69" i="1" s="1"/>
  <c r="AE77" i="1" l="1"/>
  <c r="AE98" i="1"/>
  <c r="AE75" i="1"/>
  <c r="AE46" i="1"/>
  <c r="AE42" i="1"/>
  <c r="AE39" i="1"/>
  <c r="AE32" i="1"/>
  <c r="AE31" i="1"/>
  <c r="AE24" i="1"/>
  <c r="AE22" i="1"/>
  <c r="AE3" i="1"/>
  <c r="AE52" i="1"/>
  <c r="AE70" i="1"/>
  <c r="AE91" i="1"/>
  <c r="AE50" i="1"/>
  <c r="AE33" i="1"/>
  <c r="AE49" i="1"/>
  <c r="BD50" i="1" l="1"/>
  <c r="BL50" i="1"/>
  <c r="BD33" i="1"/>
  <c r="BL33" i="1"/>
  <c r="BD91" i="1"/>
  <c r="BL91" i="1"/>
  <c r="BD52" i="1"/>
  <c r="BL52" i="1"/>
  <c r="BD22" i="1"/>
  <c r="BL22" i="1"/>
  <c r="BD31" i="1"/>
  <c r="BL31" i="1"/>
  <c r="BD39" i="1"/>
  <c r="BL39" i="1"/>
  <c r="BD46" i="1"/>
  <c r="BL46" i="1"/>
  <c r="BD98" i="1"/>
  <c r="BL98" i="1"/>
  <c r="BD49" i="1"/>
  <c r="BL49" i="1"/>
  <c r="BD70" i="1"/>
  <c r="BL70" i="1"/>
  <c r="BD3" i="1"/>
  <c r="BL3" i="1"/>
  <c r="BD24" i="1"/>
  <c r="BL24" i="1"/>
  <c r="BD32" i="1"/>
  <c r="BL32" i="1"/>
  <c r="BD42" i="1"/>
  <c r="BL42" i="1"/>
  <c r="BD75" i="1"/>
  <c r="BL75" i="1"/>
  <c r="BD77" i="1"/>
  <c r="BL77" i="1"/>
  <c r="AE97" i="1"/>
  <c r="AE95" i="1"/>
  <c r="AE96" i="1"/>
  <c r="AE94" i="1"/>
  <c r="AE93" i="1"/>
  <c r="AE92" i="1"/>
  <c r="AE90" i="1"/>
  <c r="AE89" i="1"/>
  <c r="AE88" i="1"/>
  <c r="AE87" i="1"/>
  <c r="AE86" i="1"/>
  <c r="AE85" i="1"/>
  <c r="AE84" i="1"/>
  <c r="AE83" i="1"/>
  <c r="AE81" i="1"/>
  <c r="AE82" i="1"/>
  <c r="AE80" i="1"/>
  <c r="AE79" i="1"/>
  <c r="AE78" i="1"/>
  <c r="AE76" i="1"/>
  <c r="AE74" i="1"/>
  <c r="AE73" i="1"/>
  <c r="AE72" i="1"/>
  <c r="AE71" i="1"/>
  <c r="AE69" i="1"/>
  <c r="AE68" i="1"/>
  <c r="AE67" i="1"/>
  <c r="AE66" i="1"/>
  <c r="AE65" i="1"/>
  <c r="AE64" i="1"/>
  <c r="AE63" i="1"/>
  <c r="AE62" i="1"/>
  <c r="AE61" i="1"/>
  <c r="AE60" i="1"/>
  <c r="AE59" i="1"/>
  <c r="AE58" i="1"/>
  <c r="AE57" i="1"/>
  <c r="AE56" i="1"/>
  <c r="AE55" i="1"/>
  <c r="AE54" i="1"/>
  <c r="AE53" i="1"/>
  <c r="AE51" i="1"/>
  <c r="AE48" i="1"/>
  <c r="AE47" i="1"/>
  <c r="AE45" i="1"/>
  <c r="AE44" i="1"/>
  <c r="AE43" i="1"/>
  <c r="AE41" i="1"/>
  <c r="AE40" i="1"/>
  <c r="AE38" i="1"/>
  <c r="AE37" i="1"/>
  <c r="AE36" i="1"/>
  <c r="AE35" i="1"/>
  <c r="AE34" i="1"/>
  <c r="AE30" i="1"/>
  <c r="AE29" i="1"/>
  <c r="AE28" i="1"/>
  <c r="AE27" i="1"/>
  <c r="AE26" i="1"/>
  <c r="AE25" i="1"/>
  <c r="AE23" i="1"/>
  <c r="AE21" i="1"/>
  <c r="AE20" i="1"/>
  <c r="AE19" i="1"/>
  <c r="AE18" i="1"/>
  <c r="AE17" i="1"/>
  <c r="AE16" i="1"/>
  <c r="AE15" i="1"/>
  <c r="AE14" i="1"/>
  <c r="AE13" i="1"/>
  <c r="AE12" i="1"/>
  <c r="AE11" i="1"/>
  <c r="AE10" i="1"/>
  <c r="AE9" i="1"/>
  <c r="AE8" i="1"/>
  <c r="AE7" i="1"/>
  <c r="AE6" i="1"/>
  <c r="AE5" i="1"/>
  <c r="AE4" i="1"/>
  <c r="AE2" i="1"/>
  <c r="BD5" i="1" l="1"/>
  <c r="BL5" i="1"/>
  <c r="BD9" i="1"/>
  <c r="BL9" i="1"/>
  <c r="BD11" i="1"/>
  <c r="BL11" i="1"/>
  <c r="BD13" i="1"/>
  <c r="BL13" i="1"/>
  <c r="BD15" i="1"/>
  <c r="BL15" i="1"/>
  <c r="BD19" i="1"/>
  <c r="BL19" i="1"/>
  <c r="BD21" i="1"/>
  <c r="BL21" i="1"/>
  <c r="BD25" i="1"/>
  <c r="BL25" i="1"/>
  <c r="BD26" i="1"/>
  <c r="BL26" i="1"/>
  <c r="BD30" i="1"/>
  <c r="BL30" i="1"/>
  <c r="BD35" i="1"/>
  <c r="BL35" i="1"/>
  <c r="BD37" i="1"/>
  <c r="BL37" i="1"/>
  <c r="BD43" i="1"/>
  <c r="BL43" i="1"/>
  <c r="BD45" i="1"/>
  <c r="BL45" i="1"/>
  <c r="BD48" i="1"/>
  <c r="BL48" i="1"/>
  <c r="BD55" i="1"/>
  <c r="BL55" i="1"/>
  <c r="BD57" i="1"/>
  <c r="BL57" i="1"/>
  <c r="BD59" i="1"/>
  <c r="BL59" i="1"/>
  <c r="BD63" i="1"/>
  <c r="BL63" i="1"/>
  <c r="BD65" i="1"/>
  <c r="BL65" i="1"/>
  <c r="BD69" i="1"/>
  <c r="BL69" i="1"/>
  <c r="BD72" i="1"/>
  <c r="BL72" i="1"/>
  <c r="BD78" i="1"/>
  <c r="BL78" i="1"/>
  <c r="BD81" i="1"/>
  <c r="BL81" i="1"/>
  <c r="BD2" i="1"/>
  <c r="BL2" i="1"/>
  <c r="BD4" i="1"/>
  <c r="BL4" i="1"/>
  <c r="BD6" i="1"/>
  <c r="BL6" i="1"/>
  <c r="BD8" i="1"/>
  <c r="BL8" i="1"/>
  <c r="BD10" i="1"/>
  <c r="BL10" i="1"/>
  <c r="BD12" i="1"/>
  <c r="BL12" i="1"/>
  <c r="BD14" i="1"/>
  <c r="BL14" i="1"/>
  <c r="BD16" i="1"/>
  <c r="BL16" i="1"/>
  <c r="BD18" i="1"/>
  <c r="BL18" i="1"/>
  <c r="BD20" i="1"/>
  <c r="BL20" i="1"/>
  <c r="BD23" i="1"/>
  <c r="BL23" i="1"/>
  <c r="BD27" i="1"/>
  <c r="BL27" i="1"/>
  <c r="BD29" i="1"/>
  <c r="BL29" i="1"/>
  <c r="BD34" i="1"/>
  <c r="BL34" i="1"/>
  <c r="BD36" i="1"/>
  <c r="BL36" i="1"/>
  <c r="BD38" i="1"/>
  <c r="BL38" i="1"/>
  <c r="BD41" i="1"/>
  <c r="BL41" i="1"/>
  <c r="BD44" i="1"/>
  <c r="BL44" i="1"/>
  <c r="BD47" i="1"/>
  <c r="BL47" i="1"/>
  <c r="BD51" i="1"/>
  <c r="BL51" i="1"/>
  <c r="BD54" i="1"/>
  <c r="BL54" i="1"/>
  <c r="BD56" i="1"/>
  <c r="BL56" i="1"/>
  <c r="BD58" i="1"/>
  <c r="BL58" i="1"/>
  <c r="BD60" i="1"/>
  <c r="BL60" i="1"/>
  <c r="BD62" i="1"/>
  <c r="BL62" i="1"/>
  <c r="BD64" i="1"/>
  <c r="BL64" i="1"/>
  <c r="BD66" i="1"/>
  <c r="BL66" i="1"/>
  <c r="BD68" i="1"/>
  <c r="BL68" i="1"/>
  <c r="BD71" i="1"/>
  <c r="BL71" i="1"/>
  <c r="BD73" i="1"/>
  <c r="BL73" i="1"/>
  <c r="BD76" i="1"/>
  <c r="BL76" i="1"/>
  <c r="BD79" i="1"/>
  <c r="BL79" i="1"/>
  <c r="BD82" i="1"/>
  <c r="BL82" i="1"/>
  <c r="BD83" i="1"/>
  <c r="BL83" i="1"/>
  <c r="BD85" i="1"/>
  <c r="BL85" i="1"/>
  <c r="BD87" i="1"/>
  <c r="BL87" i="1"/>
  <c r="BD89" i="1"/>
  <c r="BL89" i="1"/>
  <c r="BD92" i="1"/>
  <c r="BL92" i="1"/>
  <c r="BD94" i="1"/>
  <c r="BL94" i="1"/>
  <c r="BD95" i="1"/>
  <c r="BL95" i="1"/>
  <c r="BD7" i="1"/>
  <c r="BL7" i="1"/>
  <c r="BD17" i="1"/>
  <c r="BL17" i="1"/>
  <c r="BD28" i="1"/>
  <c r="BL28" i="1"/>
  <c r="BD40" i="1"/>
  <c r="BL40" i="1"/>
  <c r="BD53" i="1"/>
  <c r="BL53" i="1"/>
  <c r="BD61" i="1"/>
  <c r="BL61" i="1"/>
  <c r="BD67" i="1"/>
  <c r="BL67" i="1"/>
  <c r="BD74" i="1"/>
  <c r="BL74" i="1"/>
  <c r="BD80" i="1"/>
  <c r="BL80" i="1"/>
  <c r="BD84" i="1"/>
  <c r="BL84" i="1"/>
  <c r="BD86" i="1"/>
  <c r="BL86" i="1"/>
  <c r="BD88" i="1"/>
  <c r="BL88" i="1"/>
  <c r="BD90" i="1"/>
  <c r="BL90" i="1"/>
  <c r="BD93" i="1"/>
  <c r="BL93" i="1"/>
  <c r="BD96" i="1"/>
  <c r="BL96" i="1"/>
  <c r="BD97" i="1"/>
  <c r="BL97" i="1"/>
  <c r="L77" i="1"/>
  <c r="M77" i="1" s="1"/>
  <c r="BP77" i="1" s="1"/>
  <c r="L98" i="1"/>
  <c r="M98" i="1" s="1"/>
  <c r="BP98" i="1" s="1"/>
  <c r="L75" i="1"/>
  <c r="M75" i="1" s="1"/>
  <c r="BP75" i="1" s="1"/>
  <c r="L46" i="1"/>
  <c r="M46" i="1" s="1"/>
  <c r="BP46" i="1" s="1"/>
  <c r="L42" i="1" l="1"/>
  <c r="M42" i="1" s="1"/>
  <c r="BP42" i="1" s="1"/>
  <c r="L39" i="1"/>
  <c r="M39" i="1" s="1"/>
  <c r="BP39" i="1" s="1"/>
  <c r="L32" i="1" l="1"/>
  <c r="M32" i="1" s="1"/>
  <c r="BP32" i="1" s="1"/>
  <c r="L31" i="1"/>
  <c r="M31" i="1" s="1"/>
  <c r="BP31" i="1" s="1"/>
  <c r="L24" i="1" l="1"/>
  <c r="M24" i="1" s="1"/>
  <c r="BP24" i="1" s="1"/>
  <c r="L22" i="1"/>
  <c r="M22" i="1" s="1"/>
  <c r="BP22" i="1" s="1"/>
  <c r="L3" i="1"/>
  <c r="M3" i="1" s="1"/>
  <c r="BP3" i="1" s="1"/>
  <c r="L52" i="1"/>
  <c r="M52" i="1" s="1"/>
  <c r="BP52" i="1" s="1"/>
  <c r="L91" i="1"/>
  <c r="M91" i="1" s="1"/>
  <c r="BP91" i="1" s="1"/>
  <c r="L70" i="1"/>
  <c r="M70" i="1" s="1"/>
  <c r="BP70" i="1" s="1"/>
  <c r="L50" i="1"/>
  <c r="M50" i="1" s="1"/>
  <c r="BP50" i="1" s="1"/>
  <c r="L33" i="1"/>
  <c r="M33" i="1" s="1"/>
  <c r="BP33" i="1" s="1"/>
  <c r="L49" i="1"/>
  <c r="M49" i="1" s="1"/>
  <c r="BP49" i="1" s="1"/>
  <c r="L97" i="1"/>
  <c r="M97" i="1" s="1"/>
  <c r="BP97" i="1" s="1"/>
  <c r="AQ49" i="1"/>
  <c r="BS49" i="1" s="1"/>
  <c r="AQ33" i="1"/>
  <c r="BS33" i="1" s="1"/>
  <c r="AQ50" i="1"/>
  <c r="BS50" i="1" s="1"/>
  <c r="AQ91" i="1"/>
  <c r="BS91" i="1" s="1"/>
  <c r="AQ70" i="1"/>
  <c r="BS70" i="1" s="1"/>
  <c r="AQ52" i="1"/>
  <c r="BS52" i="1" s="1"/>
  <c r="AQ3" i="1"/>
  <c r="BS3" i="1" s="1"/>
  <c r="AQ22" i="1"/>
  <c r="BS22" i="1" s="1"/>
  <c r="AQ24" i="1"/>
  <c r="BS24" i="1" s="1"/>
  <c r="AQ31" i="1"/>
  <c r="BS31" i="1" s="1"/>
  <c r="AQ32" i="1"/>
  <c r="BS32" i="1" s="1"/>
  <c r="AQ39" i="1"/>
  <c r="BS39" i="1" s="1"/>
  <c r="AQ42" i="1"/>
  <c r="BS42" i="1" s="1"/>
  <c r="AQ46" i="1"/>
  <c r="BS46" i="1" s="1"/>
  <c r="AQ75" i="1"/>
  <c r="BS75" i="1" s="1"/>
  <c r="AQ98" i="1"/>
  <c r="BS98" i="1" s="1"/>
  <c r="AQ77" i="1"/>
  <c r="BS77" i="1" s="1"/>
  <c r="AF77" i="1" l="1"/>
  <c r="K77" i="1"/>
  <c r="BI77" i="1" s="1"/>
  <c r="F77" i="1"/>
  <c r="AF98" i="1"/>
  <c r="BE98" i="1" s="1"/>
  <c r="Z77" i="1"/>
  <c r="Z98" i="1"/>
  <c r="K98" i="1"/>
  <c r="BI98" i="1" s="1"/>
  <c r="F98" i="1"/>
  <c r="AF75" i="1"/>
  <c r="BE75" i="1" s="1"/>
  <c r="Z75" i="1"/>
  <c r="K75" i="1"/>
  <c r="BI75" i="1" s="1"/>
  <c r="AF46" i="1"/>
  <c r="BE46" i="1" s="1"/>
  <c r="Z46" i="1"/>
  <c r="K46" i="1"/>
  <c r="BI46" i="1" s="1"/>
  <c r="AF42" i="1"/>
  <c r="Z42" i="1"/>
  <c r="K42" i="1"/>
  <c r="BI42" i="1" s="1"/>
  <c r="F42" i="1"/>
  <c r="AF39" i="1"/>
  <c r="BE39" i="1" s="1"/>
  <c r="Z39" i="1"/>
  <c r="K39" i="1"/>
  <c r="BI39" i="1" s="1"/>
  <c r="AF32" i="1"/>
  <c r="BE32" i="1" s="1"/>
  <c r="K32" i="1"/>
  <c r="BI32" i="1" s="1"/>
  <c r="AF31" i="1"/>
  <c r="BE31" i="1" s="1"/>
  <c r="Z31" i="1"/>
  <c r="BB31" i="1" s="1"/>
  <c r="Z32" i="1"/>
  <c r="BB32" i="1" s="1"/>
  <c r="K31" i="1"/>
  <c r="BI31" i="1" s="1"/>
  <c r="Z24" i="1"/>
  <c r="BB24" i="1" s="1"/>
  <c r="AF24" i="1"/>
  <c r="BE24" i="1" s="1"/>
  <c r="F24" i="1"/>
  <c r="K24" i="1"/>
  <c r="BI24" i="1" s="1"/>
  <c r="AM22" i="1"/>
  <c r="AL22" i="1"/>
  <c r="AF22" i="1"/>
  <c r="BE22" i="1" s="1"/>
  <c r="Z22" i="1"/>
  <c r="BB22" i="1" s="1"/>
  <c r="K22" i="1"/>
  <c r="BI22" i="1" s="1"/>
  <c r="AF3" i="1"/>
  <c r="BE3" i="1" s="1"/>
  <c r="Z3" i="1"/>
  <c r="BB3" i="1" s="1"/>
  <c r="K3" i="1"/>
  <c r="BI3" i="1" s="1"/>
  <c r="AM70" i="1"/>
  <c r="AL70" i="1"/>
  <c r="AM52" i="1"/>
  <c r="AL52" i="1"/>
  <c r="AF52" i="1"/>
  <c r="BE52" i="1" s="1"/>
  <c r="Z52" i="1"/>
  <c r="BB52" i="1" s="1"/>
  <c r="F52" i="1"/>
  <c r="K52" i="1"/>
  <c r="BI52" i="1" s="1"/>
  <c r="AF70" i="1"/>
  <c r="BE70" i="1" s="1"/>
  <c r="Z70" i="1"/>
  <c r="BB70" i="1" s="1"/>
  <c r="K70" i="1"/>
  <c r="BI70" i="1" s="1"/>
  <c r="AF91" i="1"/>
  <c r="BE91" i="1" s="1"/>
  <c r="Z91" i="1"/>
  <c r="BB91" i="1" s="1"/>
  <c r="K91" i="1"/>
  <c r="BI91" i="1" s="1"/>
  <c r="BC70" i="1" l="1"/>
  <c r="BK70" i="1"/>
  <c r="BC22" i="1"/>
  <c r="BK22" i="1"/>
  <c r="BF32" i="1"/>
  <c r="BN32" i="1"/>
  <c r="BN91" i="1"/>
  <c r="BF91" i="1"/>
  <c r="BF3" i="1"/>
  <c r="BN3" i="1"/>
  <c r="BF24" i="1"/>
  <c r="BN24" i="1"/>
  <c r="AH39" i="1"/>
  <c r="AT39" i="1" s="1"/>
  <c r="BB39" i="1"/>
  <c r="AH42" i="1"/>
  <c r="AT42" i="1" s="1"/>
  <c r="BB42" i="1"/>
  <c r="BC46" i="1"/>
  <c r="BK46" i="1"/>
  <c r="AH75" i="1"/>
  <c r="AT75" i="1" s="1"/>
  <c r="BB75" i="1"/>
  <c r="AH98" i="1"/>
  <c r="AT98" i="1" s="1"/>
  <c r="BB98" i="1"/>
  <c r="BC77" i="1"/>
  <c r="BK77" i="1"/>
  <c r="BC91" i="1"/>
  <c r="BK91" i="1"/>
  <c r="BF70" i="1"/>
  <c r="BN70" i="1"/>
  <c r="BC52" i="1"/>
  <c r="BK52" i="1"/>
  <c r="BN52" i="1"/>
  <c r="BF52" i="1"/>
  <c r="BC3" i="1"/>
  <c r="BK3" i="1"/>
  <c r="BN22" i="1"/>
  <c r="BF22" i="1"/>
  <c r="BC24" i="1"/>
  <c r="BK24" i="1"/>
  <c r="BC31" i="1"/>
  <c r="BK31" i="1"/>
  <c r="BN31" i="1"/>
  <c r="BF31" i="1"/>
  <c r="BC32" i="1"/>
  <c r="BK32" i="1"/>
  <c r="BC39" i="1"/>
  <c r="BK39" i="1"/>
  <c r="BC42" i="1"/>
  <c r="BK42" i="1"/>
  <c r="AH46" i="1"/>
  <c r="AT46" i="1" s="1"/>
  <c r="BB46" i="1"/>
  <c r="BC75" i="1"/>
  <c r="BK75" i="1"/>
  <c r="BC98" i="1"/>
  <c r="BK98" i="1"/>
  <c r="AH77" i="1"/>
  <c r="AT77" i="1" s="1"/>
  <c r="BB77" i="1"/>
  <c r="AG91" i="1"/>
  <c r="AU91" i="1" s="1"/>
  <c r="AG3" i="1"/>
  <c r="AU3" i="1" s="1"/>
  <c r="AG24" i="1"/>
  <c r="AU24" i="1" s="1"/>
  <c r="AG39" i="1"/>
  <c r="AU39" i="1" s="1"/>
  <c r="AG42" i="1"/>
  <c r="AU42" i="1" s="1"/>
  <c r="AG75" i="1"/>
  <c r="AU75" i="1" s="1"/>
  <c r="AG77" i="1"/>
  <c r="AG70" i="1"/>
  <c r="AU70" i="1" s="1"/>
  <c r="AG52" i="1"/>
  <c r="AU52" i="1" s="1"/>
  <c r="AG22" i="1"/>
  <c r="AU22" i="1" s="1"/>
  <c r="AG31" i="1"/>
  <c r="AU31" i="1" s="1"/>
  <c r="AG32" i="1"/>
  <c r="AU32" i="1" s="1"/>
  <c r="AG46" i="1"/>
  <c r="AU46" i="1" s="1"/>
  <c r="AG98" i="1"/>
  <c r="AU98" i="1" s="1"/>
  <c r="AH91" i="1"/>
  <c r="AT91" i="1" s="1"/>
  <c r="BU91" i="1" s="1"/>
  <c r="AH3" i="1"/>
  <c r="AT3" i="1" s="1"/>
  <c r="BU3" i="1" s="1"/>
  <c r="AH24" i="1"/>
  <c r="AT24" i="1" s="1"/>
  <c r="BU24" i="1" s="1"/>
  <c r="AH32" i="1"/>
  <c r="AT32" i="1" s="1"/>
  <c r="BU32" i="1" s="1"/>
  <c r="AH70" i="1"/>
  <c r="AT70" i="1" s="1"/>
  <c r="BU70" i="1" s="1"/>
  <c r="AH52" i="1"/>
  <c r="AT52" i="1" s="1"/>
  <c r="BU52" i="1" s="1"/>
  <c r="AH22" i="1"/>
  <c r="AT22" i="1" s="1"/>
  <c r="BU22" i="1" s="1"/>
  <c r="AH31" i="1"/>
  <c r="AT31" i="1" s="1"/>
  <c r="BU31" i="1" s="1"/>
  <c r="AU77" i="1"/>
  <c r="AF50" i="1"/>
  <c r="BE50" i="1" s="1"/>
  <c r="Z50" i="1"/>
  <c r="BB50" i="1" s="1"/>
  <c r="K50" i="1"/>
  <c r="BI50" i="1" s="1"/>
  <c r="AF33" i="1"/>
  <c r="BE33" i="1" s="1"/>
  <c r="Z33" i="1"/>
  <c r="BB33" i="1" s="1"/>
  <c r="F33" i="1"/>
  <c r="K33" i="1"/>
  <c r="BI33" i="1" s="1"/>
  <c r="BV24" i="1" l="1"/>
  <c r="BV31" i="1"/>
  <c r="BX31" i="1" s="1"/>
  <c r="BU98" i="1"/>
  <c r="BV98" i="1" s="1"/>
  <c r="BV52" i="1"/>
  <c r="BW52" i="1" s="1"/>
  <c r="BU42" i="1"/>
  <c r="BV42" i="1" s="1"/>
  <c r="BW42" i="1" s="1"/>
  <c r="BU46" i="1"/>
  <c r="BV46" i="1" s="1"/>
  <c r="BU39" i="1"/>
  <c r="BV39" i="1" s="1"/>
  <c r="BV3" i="1"/>
  <c r="BU77" i="1"/>
  <c r="BV77" i="1" s="1"/>
  <c r="BU75" i="1"/>
  <c r="BV75" i="1" s="1"/>
  <c r="BW24" i="1"/>
  <c r="BX24" i="1"/>
  <c r="BV70" i="1"/>
  <c r="BV32" i="1"/>
  <c r="BV22" i="1"/>
  <c r="BV91" i="1"/>
  <c r="AX70" i="1"/>
  <c r="AY70" i="1" s="1"/>
  <c r="AV70" i="1"/>
  <c r="AX91" i="1"/>
  <c r="AY91" i="1" s="1"/>
  <c r="AV91" i="1"/>
  <c r="BC33" i="1"/>
  <c r="BK33" i="1"/>
  <c r="BN33" i="1"/>
  <c r="BF33" i="1"/>
  <c r="BC50" i="1"/>
  <c r="BK50" i="1"/>
  <c r="AX31" i="1"/>
  <c r="AY31" i="1" s="1"/>
  <c r="AV31" i="1"/>
  <c r="AX52" i="1"/>
  <c r="AY52" i="1" s="1"/>
  <c r="AV52" i="1"/>
  <c r="AX32" i="1"/>
  <c r="AY32" i="1" s="1"/>
  <c r="AV32" i="1"/>
  <c r="AX3" i="1"/>
  <c r="AY3" i="1" s="1"/>
  <c r="AV3" i="1"/>
  <c r="BF77" i="1"/>
  <c r="BN77" i="1"/>
  <c r="BN46" i="1"/>
  <c r="BF46" i="1"/>
  <c r="BN98" i="1"/>
  <c r="BF98" i="1"/>
  <c r="BF75" i="1"/>
  <c r="BN75" i="1"/>
  <c r="BF42" i="1"/>
  <c r="BN42" i="1"/>
  <c r="BN39" i="1"/>
  <c r="BF39" i="1"/>
  <c r="BF50" i="1"/>
  <c r="BN50" i="1"/>
  <c r="AX22" i="1"/>
  <c r="AY22" i="1" s="1"/>
  <c r="AV22" i="1"/>
  <c r="AX24" i="1"/>
  <c r="AY24" i="1" s="1"/>
  <c r="AV24" i="1"/>
  <c r="AX77" i="1"/>
  <c r="AY77" i="1" s="1"/>
  <c r="AV77" i="1"/>
  <c r="AX46" i="1"/>
  <c r="AY46" i="1" s="1"/>
  <c r="AV46" i="1"/>
  <c r="AX98" i="1"/>
  <c r="AY98" i="1" s="1"/>
  <c r="AV98" i="1"/>
  <c r="AX75" i="1"/>
  <c r="AY75" i="1" s="1"/>
  <c r="AV75" i="1"/>
  <c r="AX42" i="1"/>
  <c r="AY42" i="1" s="1"/>
  <c r="AV42" i="1"/>
  <c r="AX39" i="1"/>
  <c r="AY39" i="1" s="1"/>
  <c r="AV39" i="1"/>
  <c r="AG50" i="1"/>
  <c r="AU50" i="1" s="1"/>
  <c r="AG33" i="1"/>
  <c r="AU33" i="1" s="1"/>
  <c r="AH50" i="1"/>
  <c r="AT50" i="1" s="1"/>
  <c r="BU50" i="1" s="1"/>
  <c r="AH33" i="1"/>
  <c r="AT33" i="1" s="1"/>
  <c r="BU33" i="1" s="1"/>
  <c r="Z49" i="1"/>
  <c r="BB49" i="1" s="1"/>
  <c r="AF49" i="1"/>
  <c r="BE49" i="1" s="1"/>
  <c r="BW31" i="1" l="1"/>
  <c r="BY31" i="1" s="1"/>
  <c r="BX52" i="1"/>
  <c r="BX98" i="1"/>
  <c r="BW98" i="1"/>
  <c r="BY98" i="1" s="1"/>
  <c r="BX46" i="1"/>
  <c r="BW46" i="1"/>
  <c r="BY46" i="1" s="1"/>
  <c r="BW39" i="1"/>
  <c r="BX39" i="1"/>
  <c r="BX42" i="1"/>
  <c r="BY42" i="1" s="1"/>
  <c r="BW75" i="1"/>
  <c r="BX75" i="1"/>
  <c r="BX77" i="1"/>
  <c r="BW77" i="1"/>
  <c r="BX22" i="1"/>
  <c r="BW22" i="1"/>
  <c r="BW32" i="1"/>
  <c r="BX32" i="1"/>
  <c r="BW3" i="1"/>
  <c r="BX3" i="1"/>
  <c r="BX91" i="1"/>
  <c r="BW91" i="1"/>
  <c r="BY91" i="1" s="1"/>
  <c r="BY52" i="1"/>
  <c r="BW70" i="1"/>
  <c r="BY70" i="1" s="1"/>
  <c r="BX70" i="1"/>
  <c r="BY24" i="1"/>
  <c r="BV33" i="1"/>
  <c r="BV50" i="1"/>
  <c r="AX50" i="1"/>
  <c r="AY50" i="1" s="1"/>
  <c r="AV50" i="1"/>
  <c r="BF49" i="1"/>
  <c r="BN49" i="1"/>
  <c r="AX33" i="1"/>
  <c r="AY33" i="1" s="1"/>
  <c r="AV33" i="1"/>
  <c r="AG49" i="1"/>
  <c r="AU49" i="1" s="1"/>
  <c r="AH49" i="1"/>
  <c r="AT49" i="1" s="1"/>
  <c r="BU49" i="1" s="1"/>
  <c r="K49" i="1"/>
  <c r="BI49" i="1" s="1"/>
  <c r="BY77" i="1" l="1"/>
  <c r="BY39" i="1"/>
  <c r="BY22" i="1"/>
  <c r="BY3" i="1"/>
  <c r="BX33" i="1"/>
  <c r="BW33" i="1"/>
  <c r="BW50" i="1"/>
  <c r="BY50" i="1" s="1"/>
  <c r="BX50" i="1"/>
  <c r="BY32" i="1"/>
  <c r="BY75" i="1"/>
  <c r="BV49" i="1"/>
  <c r="BC49" i="1"/>
  <c r="BK49" i="1"/>
  <c r="AX49" i="1"/>
  <c r="AY49" i="1" s="1"/>
  <c r="AV49" i="1"/>
  <c r="K2" i="1"/>
  <c r="BI2" i="1" s="1"/>
  <c r="AL91" i="1"/>
  <c r="AM91" i="1"/>
  <c r="BY33" i="1" l="1"/>
  <c r="BW49" i="1"/>
  <c r="BY49" i="1" s="1"/>
  <c r="BX49" i="1"/>
  <c r="BC2" i="1"/>
  <c r="BK2" i="1"/>
  <c r="B77" i="1"/>
  <c r="B98" i="1"/>
  <c r="F75" i="1"/>
  <c r="B75" i="1"/>
  <c r="Y46" i="1" l="1"/>
  <c r="F46" i="1"/>
  <c r="B46" i="1"/>
  <c r="B42" i="1"/>
  <c r="Y39" i="1"/>
  <c r="F39" i="1"/>
  <c r="B39" i="1"/>
  <c r="Y31" i="1"/>
  <c r="F32" i="1"/>
  <c r="B32" i="1"/>
  <c r="F31" i="1"/>
  <c r="B31" i="1"/>
  <c r="Y24" i="1"/>
  <c r="B24" i="1"/>
  <c r="F22" i="1"/>
  <c r="B22" i="1"/>
  <c r="Y3" i="1"/>
  <c r="F3" i="1"/>
  <c r="B3" i="1"/>
  <c r="B52" i="1"/>
  <c r="K96" i="1"/>
  <c r="BI96" i="1" s="1"/>
  <c r="L96" i="1"/>
  <c r="M96" i="1" s="1"/>
  <c r="BP96" i="1" s="1"/>
  <c r="K95" i="1"/>
  <c r="BI95" i="1" s="1"/>
  <c r="L95" i="1"/>
  <c r="M95" i="1" s="1"/>
  <c r="BP95" i="1" s="1"/>
  <c r="K97" i="1"/>
  <c r="BI97" i="1" s="1"/>
  <c r="AG96" i="1"/>
  <c r="AH96" i="1"/>
  <c r="Y70" i="1"/>
  <c r="F70" i="1"/>
  <c r="B70" i="1"/>
  <c r="Y91" i="1"/>
  <c r="B91" i="1"/>
  <c r="F50" i="1"/>
  <c r="B50" i="1"/>
  <c r="B33" i="1"/>
  <c r="Y49" i="1"/>
  <c r="F49" i="1"/>
  <c r="B49" i="1"/>
  <c r="BC97" i="1" l="1"/>
  <c r="BK97" i="1"/>
  <c r="BC95" i="1"/>
  <c r="BK95" i="1"/>
  <c r="BC96" i="1"/>
  <c r="BK96" i="1"/>
  <c r="AK21" i="1"/>
  <c r="AJ65" i="1"/>
  <c r="AL65" i="1" s="1"/>
  <c r="AJ45" i="1"/>
  <c r="AL45" i="1" s="1"/>
  <c r="AJ44" i="1"/>
  <c r="AL44" i="1" s="1"/>
  <c r="AJ9" i="1"/>
  <c r="AL6" i="1"/>
  <c r="AM6" i="1"/>
  <c r="AL7" i="1"/>
  <c r="AM7" i="1"/>
  <c r="AL8" i="1"/>
  <c r="AM8" i="1"/>
  <c r="AM9" i="1"/>
  <c r="AL14" i="1"/>
  <c r="AM14" i="1"/>
  <c r="AL21" i="1"/>
  <c r="AL43" i="1"/>
  <c r="AM43" i="1"/>
  <c r="AM44" i="1"/>
  <c r="AM45" i="1"/>
  <c r="AL64" i="1"/>
  <c r="AM64" i="1"/>
  <c r="AM65" i="1"/>
  <c r="AL68" i="1"/>
  <c r="AM68" i="1"/>
  <c r="AL69" i="1"/>
  <c r="AM69" i="1"/>
  <c r="AL71" i="1"/>
  <c r="AM71" i="1"/>
  <c r="AL72" i="1"/>
  <c r="AM72" i="1"/>
  <c r="AL92" i="1"/>
  <c r="AM92" i="1"/>
  <c r="AL93" i="1"/>
  <c r="AM93" i="1"/>
  <c r="AL94" i="1"/>
  <c r="AM94" i="1"/>
  <c r="AM2" i="1"/>
  <c r="AL2" i="1"/>
  <c r="AL9" i="1" l="1"/>
  <c r="AM21" i="1"/>
  <c r="AG94" i="1" l="1"/>
  <c r="AG92" i="1"/>
  <c r="AG90" i="1"/>
  <c r="AG89" i="1"/>
  <c r="AG87" i="1"/>
  <c r="AG86" i="1"/>
  <c r="AG85" i="1"/>
  <c r="AG84" i="1"/>
  <c r="AG83" i="1"/>
  <c r="AG82" i="1"/>
  <c r="AG80" i="1"/>
  <c r="AG78" i="1"/>
  <c r="AG76" i="1"/>
  <c r="AG72" i="1"/>
  <c r="AG71" i="1"/>
  <c r="AG67" i="1"/>
  <c r="AG66" i="1"/>
  <c r="AG65" i="1"/>
  <c r="AG64" i="1"/>
  <c r="AG63" i="1"/>
  <c r="AG62" i="1"/>
  <c r="AG61" i="1"/>
  <c r="AG60" i="1"/>
  <c r="AG57" i="1"/>
  <c r="AG55" i="1"/>
  <c r="AG54" i="1"/>
  <c r="AG53" i="1"/>
  <c r="AG51" i="1"/>
  <c r="AG48" i="1"/>
  <c r="AG47" i="1"/>
  <c r="AG45" i="1"/>
  <c r="AG44" i="1"/>
  <c r="AG41" i="1"/>
  <c r="AG38" i="1"/>
  <c r="AG36" i="1"/>
  <c r="AG35" i="1"/>
  <c r="AG30" i="1"/>
  <c r="AG29" i="1"/>
  <c r="AG28" i="1"/>
  <c r="AG27" i="1"/>
  <c r="AG26" i="1"/>
  <c r="AG23" i="1"/>
  <c r="AG21" i="1"/>
  <c r="AG20" i="1"/>
  <c r="AG19" i="1"/>
  <c r="AG18" i="1"/>
  <c r="AG17" i="1"/>
  <c r="AG16" i="1"/>
  <c r="AG13" i="1"/>
  <c r="AG11" i="1"/>
  <c r="AG10" i="1"/>
  <c r="AG9" i="1"/>
  <c r="AG8" i="1"/>
  <c r="AG7" i="1"/>
  <c r="AG6" i="1"/>
  <c r="AG5" i="1"/>
  <c r="AG4" i="1"/>
  <c r="AH84" i="1"/>
  <c r="AH65" i="1"/>
  <c r="AH64" i="1"/>
  <c r="AH63" i="1"/>
  <c r="AH62" i="1"/>
  <c r="AH60" i="1"/>
  <c r="AH57" i="1"/>
  <c r="AH55" i="1"/>
  <c r="AH54" i="1"/>
  <c r="AH53" i="1"/>
  <c r="AH51" i="1"/>
  <c r="AH48" i="1"/>
  <c r="AH47" i="1"/>
  <c r="AH45" i="1"/>
  <c r="AH44" i="1"/>
  <c r="AH38" i="1"/>
  <c r="AH36" i="1"/>
  <c r="AH35" i="1"/>
  <c r="AH30" i="1"/>
  <c r="AH29" i="1"/>
  <c r="AH28" i="1"/>
  <c r="AH27" i="1"/>
  <c r="AH26" i="1"/>
  <c r="AH23" i="1"/>
  <c r="AH21" i="1"/>
  <c r="AH17" i="1"/>
  <c r="AH16" i="1"/>
  <c r="AH8" i="1"/>
  <c r="AH7" i="1"/>
  <c r="AH6" i="1"/>
  <c r="AH5" i="1"/>
  <c r="AH4" i="1"/>
  <c r="AH92" i="1"/>
  <c r="AH90" i="1"/>
  <c r="AH89" i="1"/>
  <c r="AH87" i="1"/>
  <c r="AH85" i="1"/>
  <c r="AH83" i="1"/>
  <c r="AH82" i="1"/>
  <c r="AH80" i="1"/>
  <c r="AH78" i="1"/>
  <c r="AH76" i="1"/>
  <c r="AH66" i="1"/>
  <c r="AH72" i="1"/>
  <c r="AH71" i="1"/>
  <c r="AH41" i="1" l="1"/>
  <c r="AT4" i="1"/>
  <c r="AU4" i="1"/>
  <c r="AT5" i="1"/>
  <c r="AU5" i="1"/>
  <c r="AT6" i="1"/>
  <c r="AU6" i="1"/>
  <c r="AT7" i="1"/>
  <c r="AU7" i="1"/>
  <c r="AT8" i="1"/>
  <c r="AU8" i="1"/>
  <c r="AU9" i="1"/>
  <c r="AU10" i="1"/>
  <c r="AU11" i="1"/>
  <c r="AU13" i="1"/>
  <c r="AT16" i="1"/>
  <c r="AU16" i="1"/>
  <c r="AT17" i="1"/>
  <c r="AU17" i="1"/>
  <c r="AU18" i="1"/>
  <c r="AU19" i="1"/>
  <c r="AU20" i="1"/>
  <c r="AT21" i="1"/>
  <c r="AU21" i="1"/>
  <c r="AT23" i="1"/>
  <c r="AU23" i="1"/>
  <c r="AT26" i="1"/>
  <c r="AU26" i="1"/>
  <c r="AT27" i="1"/>
  <c r="AU27" i="1"/>
  <c r="AT28" i="1"/>
  <c r="AU28" i="1"/>
  <c r="AT29" i="1"/>
  <c r="AU29" i="1"/>
  <c r="AT30" i="1"/>
  <c r="AU30" i="1"/>
  <c r="AT35" i="1"/>
  <c r="AU35" i="1"/>
  <c r="AT36" i="1"/>
  <c r="AU36" i="1"/>
  <c r="AT38" i="1"/>
  <c r="AU38" i="1"/>
  <c r="AU41" i="1"/>
  <c r="AT44" i="1"/>
  <c r="AU44" i="1"/>
  <c r="AT45" i="1"/>
  <c r="AU45" i="1"/>
  <c r="AT47" i="1"/>
  <c r="AU47" i="1"/>
  <c r="AT48" i="1"/>
  <c r="AU48" i="1"/>
  <c r="AT51" i="1"/>
  <c r="AU51" i="1"/>
  <c r="AT53" i="1"/>
  <c r="AU53" i="1"/>
  <c r="AT54" i="1"/>
  <c r="AU54" i="1"/>
  <c r="AT55" i="1"/>
  <c r="AU55" i="1"/>
  <c r="AT57" i="1"/>
  <c r="AU57" i="1"/>
  <c r="AT60" i="1"/>
  <c r="AU60" i="1"/>
  <c r="AU61" i="1"/>
  <c r="AT62" i="1"/>
  <c r="AU62" i="1"/>
  <c r="AT63" i="1"/>
  <c r="AU63" i="1"/>
  <c r="AT64" i="1"/>
  <c r="AU64" i="1"/>
  <c r="AT65" i="1"/>
  <c r="AU65" i="1"/>
  <c r="AT66" i="1"/>
  <c r="AU66" i="1"/>
  <c r="AU67" i="1"/>
  <c r="AT71" i="1"/>
  <c r="AU71" i="1"/>
  <c r="AT72" i="1"/>
  <c r="AU72" i="1"/>
  <c r="AT76" i="1"/>
  <c r="AU76" i="1"/>
  <c r="AT78" i="1"/>
  <c r="AU78" i="1"/>
  <c r="AT80" i="1"/>
  <c r="AU80" i="1"/>
  <c r="AT82" i="1"/>
  <c r="AU82" i="1"/>
  <c r="AT83" i="1"/>
  <c r="AU83" i="1"/>
  <c r="AT84" i="1"/>
  <c r="AU84" i="1"/>
  <c r="AT85" i="1"/>
  <c r="AU85" i="1"/>
  <c r="AU86" i="1"/>
  <c r="AT87" i="1"/>
  <c r="AU87" i="1"/>
  <c r="AT89" i="1"/>
  <c r="AU89" i="1"/>
  <c r="AT90" i="1"/>
  <c r="AU90" i="1"/>
  <c r="AT92" i="1"/>
  <c r="AU92" i="1"/>
  <c r="AU94" i="1"/>
  <c r="AT96" i="1"/>
  <c r="BU96" i="1" s="1"/>
  <c r="AU96" i="1"/>
  <c r="AT95" i="1"/>
  <c r="BU95" i="1" s="1"/>
  <c r="AU95" i="1"/>
  <c r="AT97" i="1"/>
  <c r="BU97" i="1" s="1"/>
  <c r="AU97" i="1"/>
  <c r="BV97" i="1" l="1"/>
  <c r="BV95" i="1"/>
  <c r="BV96" i="1"/>
  <c r="AV92" i="1"/>
  <c r="AV90" i="1"/>
  <c r="AV89" i="1"/>
  <c r="AV66" i="1"/>
  <c r="AV38" i="1"/>
  <c r="AV85" i="1"/>
  <c r="AV60" i="1"/>
  <c r="AV57" i="1"/>
  <c r="AV55" i="1"/>
  <c r="AV54" i="1"/>
  <c r="AV17" i="1"/>
  <c r="AV16" i="1"/>
  <c r="AV8" i="1"/>
  <c r="AV7" i="1"/>
  <c r="AV6" i="1"/>
  <c r="AV5" i="1"/>
  <c r="AV4" i="1"/>
  <c r="AV87" i="1"/>
  <c r="AV65" i="1"/>
  <c r="AV64" i="1"/>
  <c r="AV63" i="1"/>
  <c r="AV62" i="1"/>
  <c r="AV36" i="1"/>
  <c r="AV35" i="1"/>
  <c r="AV30" i="1"/>
  <c r="AV29" i="1"/>
  <c r="AV28" i="1"/>
  <c r="AV27" i="1"/>
  <c r="AV26" i="1"/>
  <c r="AV23" i="1"/>
  <c r="AV21" i="1"/>
  <c r="AX97" i="1"/>
  <c r="AY97" i="1" s="1"/>
  <c r="AV97" i="1"/>
  <c r="AX95" i="1"/>
  <c r="AY95" i="1" s="1"/>
  <c r="AV95" i="1"/>
  <c r="AX96" i="1"/>
  <c r="AV96" i="1"/>
  <c r="AV84" i="1"/>
  <c r="AV83" i="1"/>
  <c r="AV82" i="1"/>
  <c r="AV80" i="1"/>
  <c r="AV78" i="1"/>
  <c r="AV76" i="1"/>
  <c r="AV72" i="1"/>
  <c r="AV71" i="1"/>
  <c r="AV53" i="1"/>
  <c r="AV51" i="1"/>
  <c r="AV48" i="1"/>
  <c r="AV47" i="1"/>
  <c r="AV45" i="1"/>
  <c r="AV44" i="1"/>
  <c r="AY96" i="1"/>
  <c r="AT41" i="1"/>
  <c r="BX96" i="1" l="1"/>
  <c r="BW96" i="1"/>
  <c r="BW95" i="1"/>
  <c r="BX95" i="1"/>
  <c r="BW97" i="1"/>
  <c r="BX97" i="1"/>
  <c r="AV41" i="1"/>
  <c r="AQ4" i="1"/>
  <c r="BS4" i="1" s="1"/>
  <c r="AQ5" i="1"/>
  <c r="BS5" i="1" s="1"/>
  <c r="AQ6" i="1"/>
  <c r="BS6" i="1" s="1"/>
  <c r="AQ7" i="1"/>
  <c r="BS7" i="1" s="1"/>
  <c r="AQ8" i="1"/>
  <c r="BS8" i="1" s="1"/>
  <c r="AQ9" i="1"/>
  <c r="BS9" i="1" s="1"/>
  <c r="AQ10" i="1"/>
  <c r="BS10" i="1" s="1"/>
  <c r="AQ11" i="1"/>
  <c r="BS11" i="1" s="1"/>
  <c r="AQ12" i="1"/>
  <c r="BS12" i="1" s="1"/>
  <c r="AQ13" i="1"/>
  <c r="BS13" i="1" s="1"/>
  <c r="AQ14" i="1"/>
  <c r="BS14" i="1" s="1"/>
  <c r="AQ15" i="1"/>
  <c r="BS15" i="1" s="1"/>
  <c r="AQ16" i="1"/>
  <c r="BS16" i="1" s="1"/>
  <c r="AQ17" i="1"/>
  <c r="BS17" i="1" s="1"/>
  <c r="AQ18" i="1"/>
  <c r="BS18" i="1" s="1"/>
  <c r="AQ19" i="1"/>
  <c r="BS19" i="1" s="1"/>
  <c r="AQ20" i="1"/>
  <c r="BS20" i="1" s="1"/>
  <c r="AQ21" i="1"/>
  <c r="BS21" i="1" s="1"/>
  <c r="AQ23" i="1"/>
  <c r="BS23" i="1" s="1"/>
  <c r="AQ25" i="1"/>
  <c r="BS25" i="1" s="1"/>
  <c r="AQ26" i="1"/>
  <c r="BS26" i="1" s="1"/>
  <c r="AQ27" i="1"/>
  <c r="BS27" i="1" s="1"/>
  <c r="AQ28" i="1"/>
  <c r="BS28" i="1" s="1"/>
  <c r="AQ29" i="1"/>
  <c r="BS29" i="1" s="1"/>
  <c r="AQ30" i="1"/>
  <c r="BS30" i="1" s="1"/>
  <c r="AQ34" i="1"/>
  <c r="BS34" i="1" s="1"/>
  <c r="AQ35" i="1"/>
  <c r="BS35" i="1" s="1"/>
  <c r="AQ36" i="1"/>
  <c r="BS36" i="1" s="1"/>
  <c r="AQ37" i="1"/>
  <c r="BS37" i="1" s="1"/>
  <c r="AQ38" i="1"/>
  <c r="BS38" i="1" s="1"/>
  <c r="AQ40" i="1"/>
  <c r="BS40" i="1" s="1"/>
  <c r="AQ41" i="1"/>
  <c r="BS41" i="1" s="1"/>
  <c r="AQ43" i="1"/>
  <c r="BS43" i="1" s="1"/>
  <c r="AQ44" i="1"/>
  <c r="BS44" i="1" s="1"/>
  <c r="AQ45" i="1"/>
  <c r="BS45" i="1" s="1"/>
  <c r="AQ47" i="1"/>
  <c r="BS47" i="1" s="1"/>
  <c r="AQ48" i="1"/>
  <c r="BS48" i="1" s="1"/>
  <c r="AQ51" i="1"/>
  <c r="BS51" i="1" s="1"/>
  <c r="AQ53" i="1"/>
  <c r="BS53" i="1" s="1"/>
  <c r="AQ54" i="1"/>
  <c r="BS54" i="1" s="1"/>
  <c r="AQ55" i="1"/>
  <c r="BS55" i="1" s="1"/>
  <c r="AQ56" i="1"/>
  <c r="BS56" i="1" s="1"/>
  <c r="AQ57" i="1"/>
  <c r="BS57" i="1" s="1"/>
  <c r="AQ58" i="1"/>
  <c r="BS58" i="1" s="1"/>
  <c r="AQ59" i="1"/>
  <c r="BS59" i="1" s="1"/>
  <c r="AQ60" i="1"/>
  <c r="BS60" i="1" s="1"/>
  <c r="AQ61" i="1"/>
  <c r="BS61" i="1" s="1"/>
  <c r="AQ62" i="1"/>
  <c r="BS62" i="1" s="1"/>
  <c r="AQ63" i="1"/>
  <c r="BS63" i="1" s="1"/>
  <c r="AQ64" i="1"/>
  <c r="BS64" i="1" s="1"/>
  <c r="AQ65" i="1"/>
  <c r="BS65" i="1" s="1"/>
  <c r="AQ66" i="1"/>
  <c r="BS66" i="1" s="1"/>
  <c r="AQ67" i="1"/>
  <c r="BS67" i="1" s="1"/>
  <c r="AQ68" i="1"/>
  <c r="BS68" i="1" s="1"/>
  <c r="AQ69" i="1"/>
  <c r="BS69" i="1" s="1"/>
  <c r="AQ71" i="1"/>
  <c r="BS71" i="1" s="1"/>
  <c r="AQ72" i="1"/>
  <c r="BS72" i="1" s="1"/>
  <c r="AQ73" i="1"/>
  <c r="BS73" i="1" s="1"/>
  <c r="AQ74" i="1"/>
  <c r="BS74" i="1" s="1"/>
  <c r="AQ76" i="1"/>
  <c r="BS76" i="1" s="1"/>
  <c r="AQ78" i="1"/>
  <c r="BS78" i="1" s="1"/>
  <c r="AQ79" i="1"/>
  <c r="BS79" i="1" s="1"/>
  <c r="AQ80" i="1"/>
  <c r="BS80" i="1" s="1"/>
  <c r="AQ82" i="1"/>
  <c r="BS82" i="1" s="1"/>
  <c r="AQ81" i="1"/>
  <c r="BS81" i="1" s="1"/>
  <c r="AQ83" i="1"/>
  <c r="BS83" i="1" s="1"/>
  <c r="AQ84" i="1"/>
  <c r="BS84" i="1" s="1"/>
  <c r="AQ85" i="1"/>
  <c r="BS85" i="1" s="1"/>
  <c r="AQ86" i="1"/>
  <c r="BS86" i="1" s="1"/>
  <c r="AQ87" i="1"/>
  <c r="BS87" i="1" s="1"/>
  <c r="AQ88" i="1"/>
  <c r="BS88" i="1" s="1"/>
  <c r="AQ89" i="1"/>
  <c r="BS89" i="1" s="1"/>
  <c r="AQ90" i="1"/>
  <c r="BS90" i="1" s="1"/>
  <c r="AQ92" i="1"/>
  <c r="BS92" i="1" s="1"/>
  <c r="AQ93" i="1"/>
  <c r="BS93" i="1" s="1"/>
  <c r="AQ94" i="1"/>
  <c r="BS94" i="1" s="1"/>
  <c r="AQ96" i="1"/>
  <c r="BS96" i="1" s="1"/>
  <c r="AQ95" i="1"/>
  <c r="BS95" i="1" s="1"/>
  <c r="AQ97" i="1"/>
  <c r="BS97" i="1" s="1"/>
  <c r="AQ2" i="1"/>
  <c r="BS2" i="1" s="1"/>
  <c r="BY96" i="1" l="1"/>
  <c r="BY97" i="1"/>
  <c r="BY95" i="1"/>
  <c r="F64" i="1"/>
  <c r="L90" i="1" l="1"/>
  <c r="K90" i="1"/>
  <c r="BI90" i="1" s="1"/>
  <c r="L88" i="1"/>
  <c r="M88" i="1" s="1"/>
  <c r="BP88" i="1" s="1"/>
  <c r="K88" i="1"/>
  <c r="BI88" i="1" s="1"/>
  <c r="L74" i="1"/>
  <c r="M74" i="1" s="1"/>
  <c r="BP74" i="1" s="1"/>
  <c r="K74" i="1"/>
  <c r="BI74" i="1" s="1"/>
  <c r="L73" i="1"/>
  <c r="M73" i="1" s="1"/>
  <c r="BP73" i="1" s="1"/>
  <c r="K73" i="1"/>
  <c r="BI73" i="1" s="1"/>
  <c r="L67" i="1"/>
  <c r="M67" i="1" s="1"/>
  <c r="BP67" i="1" s="1"/>
  <c r="K67" i="1"/>
  <c r="BI67" i="1" s="1"/>
  <c r="L65" i="1"/>
  <c r="K65" i="1"/>
  <c r="BI65" i="1" s="1"/>
  <c r="L64" i="1"/>
  <c r="K64" i="1"/>
  <c r="BI64" i="1" s="1"/>
  <c r="L63" i="1"/>
  <c r="K63" i="1"/>
  <c r="BI63" i="1" s="1"/>
  <c r="L62" i="1"/>
  <c r="K62" i="1"/>
  <c r="BI62" i="1" s="1"/>
  <c r="L56" i="1"/>
  <c r="M56" i="1" s="1"/>
  <c r="BP56" i="1" s="1"/>
  <c r="K56" i="1"/>
  <c r="BI56" i="1" s="1"/>
  <c r="L54" i="1"/>
  <c r="K54" i="1"/>
  <c r="BI54" i="1" s="1"/>
  <c r="L48" i="1"/>
  <c r="K48" i="1"/>
  <c r="BI48" i="1" s="1"/>
  <c r="L47" i="1"/>
  <c r="K47" i="1"/>
  <c r="BI47" i="1" s="1"/>
  <c r="L34" i="1"/>
  <c r="M34" i="1" s="1"/>
  <c r="BP34" i="1" s="1"/>
  <c r="K34" i="1"/>
  <c r="BI34" i="1" s="1"/>
  <c r="L30" i="1"/>
  <c r="K30" i="1"/>
  <c r="BI30" i="1" s="1"/>
  <c r="L27" i="1"/>
  <c r="K27" i="1"/>
  <c r="BI27" i="1" s="1"/>
  <c r="L12" i="1"/>
  <c r="M12" i="1" s="1"/>
  <c r="BP12" i="1" s="1"/>
  <c r="K12" i="1"/>
  <c r="BI12" i="1" s="1"/>
  <c r="L9" i="1"/>
  <c r="M9" i="1" s="1"/>
  <c r="BP9" i="1" s="1"/>
  <c r="K9" i="1"/>
  <c r="BI9" i="1" s="1"/>
  <c r="L2" i="1"/>
  <c r="M2" i="1" s="1"/>
  <c r="BP2" i="1" s="1"/>
  <c r="Z93" i="1"/>
  <c r="BB93" i="1" s="1"/>
  <c r="Z94" i="1"/>
  <c r="BB94" i="1" s="1"/>
  <c r="Z67" i="1"/>
  <c r="BB67" i="1" s="1"/>
  <c r="Z61" i="1"/>
  <c r="BB61" i="1" s="1"/>
  <c r="Z9" i="1"/>
  <c r="BB9" i="1" s="1"/>
  <c r="M27" i="1" l="1"/>
  <c r="BU27" i="1"/>
  <c r="BV27" i="1" s="1"/>
  <c r="M30" i="1"/>
  <c r="BU30" i="1"/>
  <c r="BV30" i="1" s="1"/>
  <c r="M47" i="1"/>
  <c r="AX47" i="1" s="1"/>
  <c r="AY47" i="1" s="1"/>
  <c r="BU47" i="1"/>
  <c r="BV47" i="1" s="1"/>
  <c r="M48" i="1"/>
  <c r="BP48" i="1" s="1"/>
  <c r="BU48" i="1"/>
  <c r="BV48" i="1" s="1"/>
  <c r="M54" i="1"/>
  <c r="AX54" i="1" s="1"/>
  <c r="AY54" i="1" s="1"/>
  <c r="BU54" i="1"/>
  <c r="BV54" i="1" s="1"/>
  <c r="M62" i="1"/>
  <c r="BP62" i="1" s="1"/>
  <c r="BU62" i="1"/>
  <c r="BV62" i="1" s="1"/>
  <c r="M63" i="1"/>
  <c r="BU63" i="1"/>
  <c r="BV63" i="1" s="1"/>
  <c r="M64" i="1"/>
  <c r="BU64" i="1"/>
  <c r="BV64" i="1" s="1"/>
  <c r="M65" i="1"/>
  <c r="BP65" i="1" s="1"/>
  <c r="BU65" i="1"/>
  <c r="BV65" i="1" s="1"/>
  <c r="M90" i="1"/>
  <c r="BP90" i="1" s="1"/>
  <c r="BU90" i="1"/>
  <c r="BV90" i="1" s="1"/>
  <c r="BN61" i="1"/>
  <c r="BF61" i="1"/>
  <c r="BF94" i="1"/>
  <c r="BN94" i="1"/>
  <c r="AX27" i="1"/>
  <c r="AY27" i="1" s="1"/>
  <c r="BP27" i="1"/>
  <c r="BF9" i="1"/>
  <c r="BN9" i="1"/>
  <c r="BN67" i="1"/>
  <c r="BF67" i="1"/>
  <c r="BN93" i="1"/>
  <c r="BF93" i="1"/>
  <c r="BC9" i="1"/>
  <c r="BK9" i="1"/>
  <c r="BC12" i="1"/>
  <c r="BK12" i="1"/>
  <c r="BC27" i="1"/>
  <c r="BK27" i="1"/>
  <c r="BC30" i="1"/>
  <c r="BK30" i="1"/>
  <c r="BC34" i="1"/>
  <c r="BK34" i="1"/>
  <c r="BC47" i="1"/>
  <c r="BK47" i="1"/>
  <c r="BC48" i="1"/>
  <c r="BK48" i="1"/>
  <c r="BC54" i="1"/>
  <c r="BK54" i="1"/>
  <c r="BC56" i="1"/>
  <c r="BK56" i="1"/>
  <c r="BC62" i="1"/>
  <c r="BK62" i="1"/>
  <c r="BC63" i="1"/>
  <c r="BK63" i="1"/>
  <c r="BC64" i="1"/>
  <c r="BK64" i="1"/>
  <c r="BC65" i="1"/>
  <c r="BK65" i="1"/>
  <c r="BC67" i="1"/>
  <c r="BK67" i="1"/>
  <c r="BC73" i="1"/>
  <c r="BK73" i="1"/>
  <c r="BC74" i="1"/>
  <c r="BK74" i="1"/>
  <c r="BC88" i="1"/>
  <c r="BK88" i="1"/>
  <c r="BC90" i="1"/>
  <c r="BK90" i="1"/>
  <c r="AX30" i="1"/>
  <c r="AY30" i="1" s="1"/>
  <c r="BP30" i="1"/>
  <c r="AX48" i="1"/>
  <c r="AY48" i="1" s="1"/>
  <c r="AX63" i="1"/>
  <c r="AY63" i="1" s="1"/>
  <c r="BP63" i="1"/>
  <c r="AX64" i="1"/>
  <c r="AY64" i="1" s="1"/>
  <c r="BP64" i="1"/>
  <c r="AH61" i="1"/>
  <c r="AH94" i="1"/>
  <c r="AH67" i="1"/>
  <c r="AH93" i="1"/>
  <c r="AF56" i="1"/>
  <c r="BE56" i="1" s="1"/>
  <c r="AX90" i="1" l="1"/>
  <c r="AY90" i="1" s="1"/>
  <c r="AX65" i="1"/>
  <c r="AY65" i="1" s="1"/>
  <c r="BP47" i="1"/>
  <c r="BW62" i="1"/>
  <c r="BX62" i="1"/>
  <c r="BW54" i="1"/>
  <c r="BX54" i="1"/>
  <c r="BW90" i="1"/>
  <c r="BY90" i="1" s="1"/>
  <c r="BX90" i="1"/>
  <c r="BW48" i="1"/>
  <c r="BX48" i="1"/>
  <c r="BX65" i="1"/>
  <c r="BW65" i="1"/>
  <c r="BX47" i="1"/>
  <c r="BW47" i="1"/>
  <c r="BY47" i="1" s="1"/>
  <c r="BP54" i="1"/>
  <c r="BW64" i="1"/>
  <c r="BX64" i="1"/>
  <c r="BW30" i="1"/>
  <c r="BX30" i="1"/>
  <c r="AX62" i="1"/>
  <c r="AY62" i="1" s="1"/>
  <c r="BW63" i="1"/>
  <c r="BX63" i="1"/>
  <c r="BW27" i="1"/>
  <c r="BX27" i="1"/>
  <c r="AG56" i="1"/>
  <c r="AT93" i="1"/>
  <c r="AT67" i="1"/>
  <c r="BU67" i="1" s="1"/>
  <c r="BV67" i="1" s="1"/>
  <c r="AT94" i="1"/>
  <c r="AT61" i="1"/>
  <c r="BY65" i="1" l="1"/>
  <c r="BY27" i="1"/>
  <c r="BY30" i="1"/>
  <c r="BY54" i="1"/>
  <c r="BY48" i="1"/>
  <c r="BY64" i="1"/>
  <c r="BY63" i="1"/>
  <c r="BW67" i="1"/>
  <c r="BX67" i="1"/>
  <c r="BY62" i="1"/>
  <c r="AV61" i="1"/>
  <c r="AV94" i="1"/>
  <c r="AX67" i="1"/>
  <c r="AY67" i="1" s="1"/>
  <c r="AV67" i="1"/>
  <c r="AU56" i="1"/>
  <c r="BY67" i="1" l="1"/>
  <c r="L94" i="1"/>
  <c r="L93" i="1"/>
  <c r="L92" i="1"/>
  <c r="L89" i="1"/>
  <c r="L87" i="1"/>
  <c r="L86" i="1"/>
  <c r="M86" i="1" s="1"/>
  <c r="BP86" i="1" s="1"/>
  <c r="L85" i="1"/>
  <c r="L84" i="1"/>
  <c r="L83" i="1"/>
  <c r="L81" i="1"/>
  <c r="M81" i="1" s="1"/>
  <c r="BP81" i="1" s="1"/>
  <c r="L82" i="1"/>
  <c r="L80" i="1"/>
  <c r="L79" i="1"/>
  <c r="M79" i="1" s="1"/>
  <c r="BP79" i="1" s="1"/>
  <c r="L78" i="1"/>
  <c r="L76" i="1"/>
  <c r="L72" i="1"/>
  <c r="L71" i="1"/>
  <c r="L68" i="1"/>
  <c r="M68" i="1" s="1"/>
  <c r="BP68" i="1" s="1"/>
  <c r="L66" i="1"/>
  <c r="L61" i="1"/>
  <c r="L60" i="1"/>
  <c r="L59" i="1"/>
  <c r="M59" i="1" s="1"/>
  <c r="BP59" i="1" s="1"/>
  <c r="L58" i="1"/>
  <c r="M58" i="1" s="1"/>
  <c r="BP58" i="1" s="1"/>
  <c r="L57" i="1"/>
  <c r="L55" i="1"/>
  <c r="L53" i="1"/>
  <c r="L51" i="1"/>
  <c r="L45" i="1"/>
  <c r="L44" i="1"/>
  <c r="L43" i="1"/>
  <c r="M43" i="1" s="1"/>
  <c r="BP43" i="1" s="1"/>
  <c r="L41" i="1"/>
  <c r="L40" i="1"/>
  <c r="M40" i="1" s="1"/>
  <c r="BP40" i="1" s="1"/>
  <c r="L38" i="1"/>
  <c r="L37" i="1"/>
  <c r="M37" i="1" s="1"/>
  <c r="BP37" i="1" s="1"/>
  <c r="L36" i="1"/>
  <c r="L35" i="1"/>
  <c r="L29" i="1"/>
  <c r="L28" i="1"/>
  <c r="L26" i="1"/>
  <c r="L25" i="1"/>
  <c r="M25" i="1" s="1"/>
  <c r="BP25" i="1" s="1"/>
  <c r="L23" i="1"/>
  <c r="L21" i="1"/>
  <c r="L20" i="1"/>
  <c r="M20" i="1" s="1"/>
  <c r="BP20" i="1" s="1"/>
  <c r="L19" i="1"/>
  <c r="M19" i="1" s="1"/>
  <c r="BP19" i="1" s="1"/>
  <c r="L18" i="1"/>
  <c r="M18" i="1" s="1"/>
  <c r="BP18" i="1" s="1"/>
  <c r="L17" i="1"/>
  <c r="L16" i="1"/>
  <c r="L15" i="1"/>
  <c r="M15" i="1" s="1"/>
  <c r="BP15" i="1" s="1"/>
  <c r="L14" i="1"/>
  <c r="M14" i="1" s="1"/>
  <c r="BP14" i="1" s="1"/>
  <c r="L13" i="1"/>
  <c r="M13" i="1" s="1"/>
  <c r="BP13" i="1" s="1"/>
  <c r="L11" i="1"/>
  <c r="M11" i="1" s="1"/>
  <c r="BP11" i="1" s="1"/>
  <c r="L10" i="1"/>
  <c r="M10" i="1" s="1"/>
  <c r="BP10" i="1" s="1"/>
  <c r="L4" i="1"/>
  <c r="L8" i="1"/>
  <c r="L7" i="1"/>
  <c r="L6" i="1"/>
  <c r="L5" i="1"/>
  <c r="M5" i="1" l="1"/>
  <c r="AX5" i="1" s="1"/>
  <c r="AY5" i="1" s="1"/>
  <c r="BU5" i="1"/>
  <c r="BV5" i="1" s="1"/>
  <c r="M7" i="1"/>
  <c r="BU7" i="1"/>
  <c r="BV7" i="1" s="1"/>
  <c r="M4" i="1"/>
  <c r="BP4" i="1" s="1"/>
  <c r="BU4" i="1"/>
  <c r="BV4" i="1" s="1"/>
  <c r="M17" i="1"/>
  <c r="AX17" i="1" s="1"/>
  <c r="AY17" i="1" s="1"/>
  <c r="BU17" i="1"/>
  <c r="BV17" i="1" s="1"/>
  <c r="M21" i="1"/>
  <c r="AX21" i="1" s="1"/>
  <c r="AY21" i="1" s="1"/>
  <c r="BU21" i="1"/>
  <c r="BV21" i="1" s="1"/>
  <c r="M26" i="1"/>
  <c r="AX26" i="1" s="1"/>
  <c r="AY26" i="1" s="1"/>
  <c r="BU26" i="1"/>
  <c r="BV26" i="1" s="1"/>
  <c r="M29" i="1"/>
  <c r="AX29" i="1" s="1"/>
  <c r="AY29" i="1" s="1"/>
  <c r="BU29" i="1"/>
  <c r="BV29" i="1" s="1"/>
  <c r="M36" i="1"/>
  <c r="AX36" i="1" s="1"/>
  <c r="AY36" i="1" s="1"/>
  <c r="BU36" i="1"/>
  <c r="BV36" i="1" s="1"/>
  <c r="M38" i="1"/>
  <c r="AX38" i="1" s="1"/>
  <c r="AY38" i="1" s="1"/>
  <c r="BU38" i="1"/>
  <c r="BV38" i="1" s="1"/>
  <c r="M41" i="1"/>
  <c r="AX41" i="1" s="1"/>
  <c r="AY41" i="1" s="1"/>
  <c r="BU41" i="1"/>
  <c r="BV41" i="1" s="1"/>
  <c r="M44" i="1"/>
  <c r="AX44" i="1" s="1"/>
  <c r="AY44" i="1" s="1"/>
  <c r="BU44" i="1"/>
  <c r="BV44" i="1" s="1"/>
  <c r="M51" i="1"/>
  <c r="AX51" i="1" s="1"/>
  <c r="AY51" i="1" s="1"/>
  <c r="BU51" i="1"/>
  <c r="BV51" i="1" s="1"/>
  <c r="M55" i="1"/>
  <c r="AX55" i="1" s="1"/>
  <c r="AY55" i="1" s="1"/>
  <c r="BU55" i="1"/>
  <c r="BV55" i="1" s="1"/>
  <c r="M60" i="1"/>
  <c r="BU60" i="1"/>
  <c r="BV60" i="1" s="1"/>
  <c r="M66" i="1"/>
  <c r="BP66" i="1" s="1"/>
  <c r="BU66" i="1"/>
  <c r="BV66" i="1" s="1"/>
  <c r="M71" i="1"/>
  <c r="BP71" i="1" s="1"/>
  <c r="BU71" i="1"/>
  <c r="BV71" i="1" s="1"/>
  <c r="M76" i="1"/>
  <c r="AX76" i="1" s="1"/>
  <c r="AY76" i="1" s="1"/>
  <c r="BU76" i="1"/>
  <c r="BV76" i="1" s="1"/>
  <c r="M82" i="1"/>
  <c r="AX82" i="1" s="1"/>
  <c r="AY82" i="1" s="1"/>
  <c r="BU82" i="1"/>
  <c r="BV82" i="1" s="1"/>
  <c r="M83" i="1"/>
  <c r="AX83" i="1" s="1"/>
  <c r="AY83" i="1" s="1"/>
  <c r="BU83" i="1"/>
  <c r="BV83" i="1" s="1"/>
  <c r="M85" i="1"/>
  <c r="AX85" i="1" s="1"/>
  <c r="AY85" i="1" s="1"/>
  <c r="BU85" i="1"/>
  <c r="BV85" i="1" s="1"/>
  <c r="M87" i="1"/>
  <c r="AX87" i="1" s="1"/>
  <c r="AY87" i="1" s="1"/>
  <c r="BU87" i="1"/>
  <c r="BV87" i="1" s="1"/>
  <c r="M92" i="1"/>
  <c r="BP92" i="1" s="1"/>
  <c r="BU92" i="1"/>
  <c r="BV92" i="1" s="1"/>
  <c r="M94" i="1"/>
  <c r="AX94" i="1" s="1"/>
  <c r="AY94" i="1" s="1"/>
  <c r="BU94" i="1"/>
  <c r="BV94" i="1" s="1"/>
  <c r="M6" i="1"/>
  <c r="BP6" i="1" s="1"/>
  <c r="BU6" i="1"/>
  <c r="BV6" i="1" s="1"/>
  <c r="M8" i="1"/>
  <c r="BP8" i="1" s="1"/>
  <c r="BU8" i="1"/>
  <c r="BV8" i="1" s="1"/>
  <c r="M16" i="1"/>
  <c r="BP16" i="1" s="1"/>
  <c r="BU16" i="1"/>
  <c r="BV16" i="1" s="1"/>
  <c r="M23" i="1"/>
  <c r="AX23" i="1" s="1"/>
  <c r="AY23" i="1" s="1"/>
  <c r="BU23" i="1"/>
  <c r="BV23" i="1" s="1"/>
  <c r="M28" i="1"/>
  <c r="AX28" i="1" s="1"/>
  <c r="AY28" i="1" s="1"/>
  <c r="BU28" i="1"/>
  <c r="BV28" i="1" s="1"/>
  <c r="M35" i="1"/>
  <c r="AX35" i="1" s="1"/>
  <c r="AY35" i="1" s="1"/>
  <c r="BU35" i="1"/>
  <c r="BV35" i="1" s="1"/>
  <c r="M45" i="1"/>
  <c r="AX45" i="1" s="1"/>
  <c r="AY45" i="1" s="1"/>
  <c r="BU45" i="1"/>
  <c r="BV45" i="1" s="1"/>
  <c r="M53" i="1"/>
  <c r="AX53" i="1" s="1"/>
  <c r="AY53" i="1" s="1"/>
  <c r="BU53" i="1"/>
  <c r="BV53" i="1" s="1"/>
  <c r="M57" i="1"/>
  <c r="AX57" i="1" s="1"/>
  <c r="AY57" i="1" s="1"/>
  <c r="BU57" i="1"/>
  <c r="BV57" i="1" s="1"/>
  <c r="M61" i="1"/>
  <c r="AX61" i="1" s="1"/>
  <c r="AY61" i="1" s="1"/>
  <c r="BU61" i="1"/>
  <c r="BV61" i="1" s="1"/>
  <c r="M72" i="1"/>
  <c r="AX72" i="1" s="1"/>
  <c r="AY72" i="1" s="1"/>
  <c r="BU72" i="1"/>
  <c r="BV72" i="1" s="1"/>
  <c r="M78" i="1"/>
  <c r="AX78" i="1" s="1"/>
  <c r="AY78" i="1" s="1"/>
  <c r="BU78" i="1"/>
  <c r="BV78" i="1" s="1"/>
  <c r="M80" i="1"/>
  <c r="AX80" i="1" s="1"/>
  <c r="AY80" i="1" s="1"/>
  <c r="BU80" i="1"/>
  <c r="BV80" i="1" s="1"/>
  <c r="M84" i="1"/>
  <c r="BP84" i="1" s="1"/>
  <c r="BU84" i="1"/>
  <c r="BV84" i="1" s="1"/>
  <c r="M89" i="1"/>
  <c r="BU89" i="1"/>
  <c r="BV89" i="1" s="1"/>
  <c r="M93" i="1"/>
  <c r="AX93" i="1" s="1"/>
  <c r="BU93" i="1"/>
  <c r="AX16" i="1"/>
  <c r="AY16" i="1" s="1"/>
  <c r="AX84" i="1"/>
  <c r="AY84" i="1" s="1"/>
  <c r="AX89" i="1"/>
  <c r="AY89" i="1" s="1"/>
  <c r="BP89" i="1"/>
  <c r="AX7" i="1"/>
  <c r="AY7" i="1" s="1"/>
  <c r="BP7" i="1"/>
  <c r="BP29" i="1"/>
  <c r="BP36" i="1"/>
  <c r="AX60" i="1"/>
  <c r="AY60" i="1" s="1"/>
  <c r="BP60" i="1"/>
  <c r="AX71" i="1"/>
  <c r="AY71" i="1" s="1"/>
  <c r="BP83" i="1"/>
  <c r="BP85" i="1"/>
  <c r="AF59" i="1"/>
  <c r="BE59" i="1" s="1"/>
  <c r="AX4" i="1" l="1"/>
  <c r="AY4" i="1" s="1"/>
  <c r="BP87" i="1"/>
  <c r="BP57" i="1"/>
  <c r="BP38" i="1"/>
  <c r="BP53" i="1"/>
  <c r="AX66" i="1"/>
  <c r="AY66" i="1" s="1"/>
  <c r="BP93" i="1"/>
  <c r="AX8" i="1"/>
  <c r="AY8" i="1" s="1"/>
  <c r="BP5" i="1"/>
  <c r="BP55" i="1"/>
  <c r="AX92" i="1"/>
  <c r="AY92" i="1" s="1"/>
  <c r="BP61" i="1"/>
  <c r="BP72" i="1"/>
  <c r="BP94" i="1"/>
  <c r="BP21" i="1"/>
  <c r="BP78" i="1"/>
  <c r="BP44" i="1"/>
  <c r="BP17" i="1"/>
  <c r="BP76" i="1"/>
  <c r="BP41" i="1"/>
  <c r="BP45" i="1"/>
  <c r="BP35" i="1"/>
  <c r="BP28" i="1"/>
  <c r="BP82" i="1"/>
  <c r="BP51" i="1"/>
  <c r="BP26" i="1"/>
  <c r="BP23" i="1"/>
  <c r="BP80" i="1"/>
  <c r="BX80" i="1"/>
  <c r="BW80" i="1"/>
  <c r="BY80" i="1" s="1"/>
  <c r="BX45" i="1"/>
  <c r="BW45" i="1"/>
  <c r="BX6" i="1"/>
  <c r="BW6" i="1"/>
  <c r="BW82" i="1"/>
  <c r="BX82" i="1"/>
  <c r="BW51" i="1"/>
  <c r="BX51" i="1"/>
  <c r="BX26" i="1"/>
  <c r="BW26" i="1"/>
  <c r="BY26" i="1" s="1"/>
  <c r="BW78" i="1"/>
  <c r="BX78" i="1"/>
  <c r="BX35" i="1"/>
  <c r="BW35" i="1"/>
  <c r="BW94" i="1"/>
  <c r="BX94" i="1"/>
  <c r="BW76" i="1"/>
  <c r="BX76" i="1"/>
  <c r="BW44" i="1"/>
  <c r="BX44" i="1"/>
  <c r="BX21" i="1"/>
  <c r="BW21" i="1"/>
  <c r="BY21" i="1" s="1"/>
  <c r="AX6" i="1"/>
  <c r="AY6" i="1" s="1"/>
  <c r="BX72" i="1"/>
  <c r="BW72" i="1"/>
  <c r="BW28" i="1"/>
  <c r="BX28" i="1"/>
  <c r="BW92" i="1"/>
  <c r="BY92" i="1" s="1"/>
  <c r="BX92" i="1"/>
  <c r="BW71" i="1"/>
  <c r="BX71" i="1"/>
  <c r="BW41" i="1"/>
  <c r="BY41" i="1" s="1"/>
  <c r="BX41" i="1"/>
  <c r="BW17" i="1"/>
  <c r="BX17" i="1"/>
  <c r="BX61" i="1"/>
  <c r="BW61" i="1"/>
  <c r="BY61" i="1" s="1"/>
  <c r="BW23" i="1"/>
  <c r="BX23" i="1"/>
  <c r="BW87" i="1"/>
  <c r="BX87" i="1"/>
  <c r="BW66" i="1"/>
  <c r="BX66" i="1"/>
  <c r="BW38" i="1"/>
  <c r="BY38" i="1" s="1"/>
  <c r="BX38" i="1"/>
  <c r="BW4" i="1"/>
  <c r="BX4" i="1"/>
  <c r="BX89" i="1"/>
  <c r="BW89" i="1"/>
  <c r="BW57" i="1"/>
  <c r="BY57" i="1" s="1"/>
  <c r="BX57" i="1"/>
  <c r="BW16" i="1"/>
  <c r="BY16" i="1" s="1"/>
  <c r="BX16" i="1"/>
  <c r="BW85" i="1"/>
  <c r="BX85" i="1"/>
  <c r="BW60" i="1"/>
  <c r="BX60" i="1"/>
  <c r="BW36" i="1"/>
  <c r="BX36" i="1"/>
  <c r="BW7" i="1"/>
  <c r="BX7" i="1"/>
  <c r="BW84" i="1"/>
  <c r="BX84" i="1"/>
  <c r="BX53" i="1"/>
  <c r="BW53" i="1"/>
  <c r="BX8" i="1"/>
  <c r="BW8" i="1"/>
  <c r="BY8" i="1" s="1"/>
  <c r="BW83" i="1"/>
  <c r="BY83" i="1" s="1"/>
  <c r="BX83" i="1"/>
  <c r="BX55" i="1"/>
  <c r="BW55" i="1"/>
  <c r="BW29" i="1"/>
  <c r="BX29" i="1"/>
  <c r="BW5" i="1"/>
  <c r="BY5" i="1" s="1"/>
  <c r="BX5" i="1"/>
  <c r="AG59" i="1"/>
  <c r="BY55" i="1" l="1"/>
  <c r="BY6" i="1"/>
  <c r="BY53" i="1"/>
  <c r="BY17" i="1"/>
  <c r="BY89" i="1"/>
  <c r="BY35" i="1"/>
  <c r="BY45" i="1"/>
  <c r="BY82" i="1"/>
  <c r="BY60" i="1"/>
  <c r="BY51" i="1"/>
  <c r="BY71" i="1"/>
  <c r="BY76" i="1"/>
  <c r="BY84" i="1"/>
  <c r="BY23" i="1"/>
  <c r="BY94" i="1"/>
  <c r="BY85" i="1"/>
  <c r="BY87" i="1"/>
  <c r="BY28" i="1"/>
  <c r="BY29" i="1"/>
  <c r="BY7" i="1"/>
  <c r="BY72" i="1"/>
  <c r="BY66" i="1"/>
  <c r="BY44" i="1"/>
  <c r="BY36" i="1"/>
  <c r="BY4" i="1"/>
  <c r="BY78" i="1"/>
  <c r="AU59" i="1"/>
  <c r="F4" i="1" l="1"/>
  <c r="F5" i="1"/>
  <c r="F6" i="1"/>
  <c r="F8" i="1"/>
  <c r="F10" i="1"/>
  <c r="F11" i="1"/>
  <c r="F12" i="1"/>
  <c r="F13" i="1"/>
  <c r="F14" i="1"/>
  <c r="F15" i="1"/>
  <c r="F16" i="1"/>
  <c r="F17" i="1"/>
  <c r="F18" i="1"/>
  <c r="F19" i="1"/>
  <c r="F20" i="1"/>
  <c r="F21" i="1"/>
  <c r="F23" i="1"/>
  <c r="F25" i="1"/>
  <c r="F26" i="1"/>
  <c r="F27" i="1"/>
  <c r="F28" i="1"/>
  <c r="F29" i="1"/>
  <c r="F30" i="1"/>
  <c r="F34" i="1"/>
  <c r="F35" i="1"/>
  <c r="F36" i="1"/>
  <c r="F37" i="1"/>
  <c r="F38" i="1"/>
  <c r="F40" i="1"/>
  <c r="F41" i="1"/>
  <c r="F43" i="1"/>
  <c r="F44" i="1"/>
  <c r="F45" i="1"/>
  <c r="F47" i="1"/>
  <c r="F48" i="1"/>
  <c r="F51" i="1"/>
  <c r="F53" i="1"/>
  <c r="F54" i="1"/>
  <c r="F55" i="1"/>
  <c r="F56" i="1"/>
  <c r="F57" i="1"/>
  <c r="F58" i="1"/>
  <c r="F59" i="1"/>
  <c r="F61" i="1"/>
  <c r="F65" i="1"/>
  <c r="F66" i="1"/>
  <c r="F67" i="1"/>
  <c r="F68" i="1"/>
  <c r="F69" i="1"/>
  <c r="F71" i="1"/>
  <c r="F72" i="1"/>
  <c r="F73" i="1"/>
  <c r="F74" i="1"/>
  <c r="F76" i="1"/>
  <c r="F78" i="1"/>
  <c r="F79" i="1"/>
  <c r="F80" i="1"/>
  <c r="F82" i="1"/>
  <c r="F83" i="1"/>
  <c r="F84" i="1"/>
  <c r="F85" i="1"/>
  <c r="F86" i="1"/>
  <c r="F87" i="1"/>
  <c r="F88" i="1"/>
  <c r="F89" i="1"/>
  <c r="F90" i="1"/>
  <c r="F96" i="1"/>
  <c r="F95" i="1"/>
  <c r="F97" i="1"/>
  <c r="AC9" i="1"/>
  <c r="AC47" i="1" l="1"/>
  <c r="AC19" i="1" l="1"/>
  <c r="AC28" i="1"/>
  <c r="AC86" i="1" l="1"/>
  <c r="Z86" i="1"/>
  <c r="BB86" i="1" s="1"/>
  <c r="Y86" i="1"/>
  <c r="BN86" i="1" l="1"/>
  <c r="BF86" i="1"/>
  <c r="AH86" i="1"/>
  <c r="AT86" i="1" l="1"/>
  <c r="BU86" i="1" s="1"/>
  <c r="BV86" i="1" s="1"/>
  <c r="BX86" i="1" l="1"/>
  <c r="BW86" i="1"/>
  <c r="BY86" i="1" s="1"/>
  <c r="AX86" i="1"/>
  <c r="AY86" i="1" s="1"/>
  <c r="AV86" i="1"/>
  <c r="K4" i="1"/>
  <c r="BI4" i="1" s="1"/>
  <c r="K5" i="1"/>
  <c r="BI5" i="1" s="1"/>
  <c r="K6" i="1"/>
  <c r="BI6" i="1" s="1"/>
  <c r="K7" i="1"/>
  <c r="BI7" i="1" s="1"/>
  <c r="K8" i="1"/>
  <c r="BI8" i="1" s="1"/>
  <c r="K10" i="1"/>
  <c r="BI10" i="1" s="1"/>
  <c r="K11" i="1"/>
  <c r="BI11" i="1" s="1"/>
  <c r="K13" i="1"/>
  <c r="BI13" i="1" s="1"/>
  <c r="K14" i="1"/>
  <c r="BI14" i="1" s="1"/>
  <c r="K15" i="1"/>
  <c r="BI15" i="1" s="1"/>
  <c r="K16" i="1"/>
  <c r="BI16" i="1" s="1"/>
  <c r="K17" i="1"/>
  <c r="BI17" i="1" s="1"/>
  <c r="K18" i="1"/>
  <c r="BI18" i="1" s="1"/>
  <c r="K19" i="1"/>
  <c r="BI19" i="1" s="1"/>
  <c r="K20" i="1"/>
  <c r="BI20" i="1" s="1"/>
  <c r="K21" i="1"/>
  <c r="BI21" i="1" s="1"/>
  <c r="K23" i="1"/>
  <c r="BI23" i="1" s="1"/>
  <c r="K25" i="1"/>
  <c r="BI25" i="1" s="1"/>
  <c r="K26" i="1"/>
  <c r="BI26" i="1" s="1"/>
  <c r="K28" i="1"/>
  <c r="BI28" i="1" s="1"/>
  <c r="K29" i="1"/>
  <c r="BI29" i="1" s="1"/>
  <c r="K35" i="1"/>
  <c r="BI35" i="1" s="1"/>
  <c r="K36" i="1"/>
  <c r="BI36" i="1" s="1"/>
  <c r="K37" i="1"/>
  <c r="BI37" i="1" s="1"/>
  <c r="K38" i="1"/>
  <c r="BI38" i="1" s="1"/>
  <c r="K40" i="1"/>
  <c r="BI40" i="1" s="1"/>
  <c r="K41" i="1"/>
  <c r="BI41" i="1" s="1"/>
  <c r="K43" i="1"/>
  <c r="BI43" i="1" s="1"/>
  <c r="K44" i="1"/>
  <c r="BI44" i="1" s="1"/>
  <c r="K45" i="1"/>
  <c r="BI45" i="1" s="1"/>
  <c r="K51" i="1"/>
  <c r="BI51" i="1" s="1"/>
  <c r="K53" i="1"/>
  <c r="BI53" i="1" s="1"/>
  <c r="K55" i="1"/>
  <c r="BI55" i="1" s="1"/>
  <c r="K57" i="1"/>
  <c r="BI57" i="1" s="1"/>
  <c r="K58" i="1"/>
  <c r="BI58" i="1" s="1"/>
  <c r="K59" i="1"/>
  <c r="BI59" i="1" s="1"/>
  <c r="K60" i="1"/>
  <c r="BI60" i="1" s="1"/>
  <c r="K61" i="1"/>
  <c r="BI61" i="1" s="1"/>
  <c r="K66" i="1"/>
  <c r="BI66" i="1" s="1"/>
  <c r="K68" i="1"/>
  <c r="BI68" i="1" s="1"/>
  <c r="K69" i="1"/>
  <c r="BI69" i="1" s="1"/>
  <c r="K71" i="1"/>
  <c r="BI71" i="1" s="1"/>
  <c r="K72" i="1"/>
  <c r="BI72" i="1" s="1"/>
  <c r="K76" i="1"/>
  <c r="BI76" i="1" s="1"/>
  <c r="K78" i="1"/>
  <c r="BI78" i="1" s="1"/>
  <c r="K79" i="1"/>
  <c r="BI79" i="1" s="1"/>
  <c r="K80" i="1"/>
  <c r="BI80" i="1" s="1"/>
  <c r="K82" i="1"/>
  <c r="BI82" i="1" s="1"/>
  <c r="K81" i="1"/>
  <c r="BI81" i="1" s="1"/>
  <c r="K83" i="1"/>
  <c r="BI83" i="1" s="1"/>
  <c r="K84" i="1"/>
  <c r="BI84" i="1" s="1"/>
  <c r="K85" i="1"/>
  <c r="BI85" i="1" s="1"/>
  <c r="K86" i="1"/>
  <c r="BI86" i="1" s="1"/>
  <c r="K87" i="1"/>
  <c r="BI87" i="1" s="1"/>
  <c r="K89" i="1"/>
  <c r="BI89" i="1" s="1"/>
  <c r="K92" i="1"/>
  <c r="BI92" i="1" s="1"/>
  <c r="K93" i="1"/>
  <c r="BI93" i="1" s="1"/>
  <c r="K94" i="1"/>
  <c r="BI94" i="1" s="1"/>
  <c r="AH20" i="1"/>
  <c r="AH19" i="1"/>
  <c r="AH18" i="1"/>
  <c r="AH10" i="1"/>
  <c r="AH9" i="1"/>
  <c r="AH11" i="1"/>
  <c r="AT11" i="1" s="1"/>
  <c r="BU11" i="1" s="1"/>
  <c r="BV11" i="1" s="1"/>
  <c r="AH13" i="1"/>
  <c r="BW11" i="1" l="1"/>
  <c r="BY11" i="1" s="1"/>
  <c r="BX11" i="1"/>
  <c r="AX11" i="1"/>
  <c r="AY11" i="1" s="1"/>
  <c r="AV11" i="1"/>
  <c r="BC94" i="1"/>
  <c r="BK94" i="1"/>
  <c r="BC92" i="1"/>
  <c r="BK92" i="1"/>
  <c r="BC87" i="1"/>
  <c r="BK87" i="1"/>
  <c r="BC85" i="1"/>
  <c r="BK85" i="1"/>
  <c r="BC83" i="1"/>
  <c r="BK83" i="1"/>
  <c r="BC82" i="1"/>
  <c r="BK82" i="1"/>
  <c r="BC79" i="1"/>
  <c r="BK79" i="1"/>
  <c r="BC76" i="1"/>
  <c r="BK76" i="1"/>
  <c r="BC71" i="1"/>
  <c r="BK71" i="1"/>
  <c r="BC68" i="1"/>
  <c r="BK68" i="1"/>
  <c r="BC61" i="1"/>
  <c r="BK61" i="1"/>
  <c r="BC59" i="1"/>
  <c r="BK59" i="1"/>
  <c r="BC57" i="1"/>
  <c r="BK57" i="1"/>
  <c r="BC53" i="1"/>
  <c r="BK53" i="1"/>
  <c r="BC45" i="1"/>
  <c r="BK45" i="1"/>
  <c r="BC43" i="1"/>
  <c r="BK43" i="1"/>
  <c r="BC40" i="1"/>
  <c r="BK40" i="1"/>
  <c r="BC37" i="1"/>
  <c r="BK37" i="1"/>
  <c r="BC35" i="1"/>
  <c r="BK35" i="1"/>
  <c r="BC28" i="1"/>
  <c r="BK28" i="1"/>
  <c r="BC23" i="1"/>
  <c r="BK23" i="1"/>
  <c r="BC20" i="1"/>
  <c r="BK20" i="1"/>
  <c r="BC18" i="1"/>
  <c r="BK18" i="1"/>
  <c r="BC16" i="1"/>
  <c r="BK16" i="1"/>
  <c r="BC14" i="1"/>
  <c r="BK14" i="1"/>
  <c r="BC11" i="1"/>
  <c r="BK11" i="1"/>
  <c r="BC8" i="1"/>
  <c r="BK8" i="1"/>
  <c r="BC6" i="1"/>
  <c r="BK6" i="1"/>
  <c r="BC4" i="1"/>
  <c r="BK4" i="1"/>
  <c r="BC93" i="1"/>
  <c r="BK93" i="1"/>
  <c r="BC89" i="1"/>
  <c r="BK89" i="1"/>
  <c r="BC86" i="1"/>
  <c r="BK86" i="1"/>
  <c r="BC84" i="1"/>
  <c r="BK84" i="1"/>
  <c r="BC81" i="1"/>
  <c r="BK81" i="1"/>
  <c r="BC80" i="1"/>
  <c r="BK80" i="1"/>
  <c r="BC78" i="1"/>
  <c r="BK78" i="1"/>
  <c r="BC72" i="1"/>
  <c r="BK72" i="1"/>
  <c r="BC69" i="1"/>
  <c r="BK69" i="1"/>
  <c r="BC66" i="1"/>
  <c r="BK66" i="1"/>
  <c r="BC60" i="1"/>
  <c r="BK60" i="1"/>
  <c r="BC58" i="1"/>
  <c r="BK58" i="1"/>
  <c r="BC55" i="1"/>
  <c r="BK55" i="1"/>
  <c r="BC51" i="1"/>
  <c r="BK51" i="1"/>
  <c r="BC44" i="1"/>
  <c r="BK44" i="1"/>
  <c r="BC41" i="1"/>
  <c r="BK41" i="1"/>
  <c r="BC38" i="1"/>
  <c r="BK38" i="1"/>
  <c r="BC36" i="1"/>
  <c r="BK36" i="1"/>
  <c r="BC29" i="1"/>
  <c r="BK29" i="1"/>
  <c r="BC26" i="1"/>
  <c r="BK26" i="1"/>
  <c r="BC25" i="1"/>
  <c r="BK25" i="1"/>
  <c r="BC21" i="1"/>
  <c r="BK21" i="1"/>
  <c r="BC19" i="1"/>
  <c r="BK19" i="1"/>
  <c r="BC17" i="1"/>
  <c r="BK17" i="1"/>
  <c r="BC15" i="1"/>
  <c r="BK15" i="1"/>
  <c r="BC13" i="1"/>
  <c r="BK13" i="1"/>
  <c r="BC10" i="1"/>
  <c r="BK10" i="1"/>
  <c r="BC7" i="1"/>
  <c r="BK7" i="1"/>
  <c r="BC5" i="1"/>
  <c r="BK5" i="1"/>
  <c r="AT13" i="1"/>
  <c r="BU13" i="1" s="1"/>
  <c r="BV13" i="1" s="1"/>
  <c r="AT19" i="1"/>
  <c r="BU19" i="1" s="1"/>
  <c r="BV19" i="1" s="1"/>
  <c r="AT18" i="1"/>
  <c r="BU18" i="1" s="1"/>
  <c r="BV18" i="1" s="1"/>
  <c r="AT10" i="1"/>
  <c r="BU10" i="1" s="1"/>
  <c r="BV10" i="1" s="1"/>
  <c r="AT9" i="1"/>
  <c r="BU9" i="1" s="1"/>
  <c r="BV9" i="1" s="1"/>
  <c r="AT20" i="1"/>
  <c r="BU20" i="1" s="1"/>
  <c r="BV20" i="1" s="1"/>
  <c r="AF79" i="1"/>
  <c r="BE79" i="1" s="1"/>
  <c r="Z79" i="1"/>
  <c r="BB79" i="1" s="1"/>
  <c r="AC79" i="1"/>
  <c r="B79" i="1"/>
  <c r="AF74" i="1"/>
  <c r="BE74" i="1" s="1"/>
  <c r="Z74" i="1"/>
  <c r="BB74" i="1" s="1"/>
  <c r="Y74" i="1"/>
  <c r="AC74" i="1"/>
  <c r="B74" i="1"/>
  <c r="AF73" i="1"/>
  <c r="BE73" i="1" s="1"/>
  <c r="Z73" i="1"/>
  <c r="BB73" i="1" s="1"/>
  <c r="Y73" i="1"/>
  <c r="AC73" i="1"/>
  <c r="B73" i="1"/>
  <c r="Z59" i="1"/>
  <c r="BB59" i="1" s="1"/>
  <c r="Y59" i="1"/>
  <c r="AC59" i="1"/>
  <c r="B59" i="1"/>
  <c r="AF34" i="1"/>
  <c r="BE34" i="1" s="1"/>
  <c r="AC34" i="1"/>
  <c r="Z34" i="1"/>
  <c r="B34" i="1"/>
  <c r="AF15" i="1"/>
  <c r="BE15" i="1" s="1"/>
  <c r="Z15" i="1"/>
  <c r="BB15" i="1" s="1"/>
  <c r="Y15" i="1"/>
  <c r="AC15" i="1"/>
  <c r="B15" i="1"/>
  <c r="AF12" i="1"/>
  <c r="BE12" i="1" s="1"/>
  <c r="Z12" i="1"/>
  <c r="BB12" i="1" s="1"/>
  <c r="Y12" i="1"/>
  <c r="B12" i="1"/>
  <c r="BW19" i="1" l="1"/>
  <c r="BY19" i="1" s="1"/>
  <c r="BX19" i="1"/>
  <c r="BW13" i="1"/>
  <c r="BY13" i="1" s="1"/>
  <c r="BX13" i="1"/>
  <c r="BX20" i="1"/>
  <c r="BW20" i="1"/>
  <c r="BY20" i="1" s="1"/>
  <c r="BX9" i="1"/>
  <c r="BW9" i="1"/>
  <c r="BY9" i="1" s="1"/>
  <c r="BW10" i="1"/>
  <c r="BX10" i="1"/>
  <c r="BX18" i="1"/>
  <c r="BW18" i="1"/>
  <c r="BY18" i="1" s="1"/>
  <c r="BF79" i="1"/>
  <c r="BN79" i="1"/>
  <c r="AX20" i="1"/>
  <c r="AY20" i="1" s="1"/>
  <c r="AV20" i="1"/>
  <c r="AX10" i="1"/>
  <c r="AY10" i="1" s="1"/>
  <c r="AV10" i="1"/>
  <c r="AX19" i="1"/>
  <c r="AY19" i="1" s="1"/>
  <c r="AV19" i="1"/>
  <c r="BF15" i="1"/>
  <c r="BN15" i="1"/>
  <c r="BN74" i="1"/>
  <c r="BF74" i="1"/>
  <c r="BN12" i="1"/>
  <c r="BF12" i="1"/>
  <c r="AH34" i="1"/>
  <c r="BB34" i="1"/>
  <c r="BN59" i="1"/>
  <c r="BF59" i="1"/>
  <c r="BF73" i="1"/>
  <c r="BN73" i="1"/>
  <c r="AX9" i="1"/>
  <c r="AY9" i="1" s="1"/>
  <c r="AV9" i="1"/>
  <c r="AX18" i="1"/>
  <c r="AY18" i="1" s="1"/>
  <c r="AV18" i="1"/>
  <c r="AX13" i="1"/>
  <c r="AY13" i="1" s="1"/>
  <c r="AV13" i="1"/>
  <c r="AC12" i="1"/>
  <c r="AG34" i="1"/>
  <c r="AG79" i="1"/>
  <c r="AG12" i="1"/>
  <c r="AG73" i="1"/>
  <c r="AG74" i="1"/>
  <c r="AH12" i="1"/>
  <c r="AH15" i="1"/>
  <c r="AH73" i="1"/>
  <c r="AH74" i="1"/>
  <c r="AH79" i="1"/>
  <c r="AH59" i="1"/>
  <c r="AG15" i="1"/>
  <c r="AT34" i="1"/>
  <c r="BU34" i="1" l="1"/>
  <c r="BY10" i="1"/>
  <c r="AX34" i="1"/>
  <c r="BF34" i="1"/>
  <c r="BN34" i="1"/>
  <c r="AU74" i="1"/>
  <c r="AU12" i="1"/>
  <c r="AU34" i="1"/>
  <c r="AU15" i="1"/>
  <c r="AU73" i="1"/>
  <c r="AU79" i="1"/>
  <c r="AT15" i="1"/>
  <c r="BU15" i="1" s="1"/>
  <c r="AT59" i="1"/>
  <c r="BU59" i="1" s="1"/>
  <c r="BV59" i="1" s="1"/>
  <c r="AT12" i="1"/>
  <c r="BU12" i="1" s="1"/>
  <c r="AT74" i="1"/>
  <c r="BU74" i="1" s="1"/>
  <c r="AT79" i="1"/>
  <c r="BU79" i="1" s="1"/>
  <c r="AT73" i="1"/>
  <c r="BU73" i="1" s="1"/>
  <c r="AF2" i="1"/>
  <c r="BE2" i="1" s="1"/>
  <c r="AC2" i="1"/>
  <c r="Z2" i="1"/>
  <c r="BB2" i="1" s="1"/>
  <c r="F2" i="1"/>
  <c r="B2" i="1"/>
  <c r="AF93" i="1"/>
  <c r="AC93" i="1"/>
  <c r="Y93" i="1"/>
  <c r="B93" i="1"/>
  <c r="AF88" i="1"/>
  <c r="BE88" i="1" s="1"/>
  <c r="Z88" i="1"/>
  <c r="BB88" i="1" s="1"/>
  <c r="AC88" i="1"/>
  <c r="B88" i="1"/>
  <c r="B86" i="1"/>
  <c r="AF81" i="1"/>
  <c r="BE81" i="1" s="1"/>
  <c r="Z81" i="1"/>
  <c r="BB81" i="1" s="1"/>
  <c r="Y81" i="1"/>
  <c r="AC81" i="1"/>
  <c r="B81" i="1"/>
  <c r="AF69" i="1"/>
  <c r="AC69" i="1"/>
  <c r="Z69" i="1"/>
  <c r="BB69" i="1" s="1"/>
  <c r="Y69" i="1"/>
  <c r="B69" i="1"/>
  <c r="AF68" i="1"/>
  <c r="AC68" i="1"/>
  <c r="Z68" i="1"/>
  <c r="BB68" i="1" s="1"/>
  <c r="Y68" i="1"/>
  <c r="B68" i="1"/>
  <c r="AF58" i="1"/>
  <c r="BE58" i="1" s="1"/>
  <c r="Z58" i="1"/>
  <c r="BB58" i="1" s="1"/>
  <c r="Y58" i="1"/>
  <c r="AC58" i="1"/>
  <c r="B58" i="1"/>
  <c r="Z56" i="1"/>
  <c r="AC56" i="1"/>
  <c r="B56" i="1"/>
  <c r="AF43" i="1"/>
  <c r="BE43" i="1" s="1"/>
  <c r="AC43" i="1"/>
  <c r="Z43" i="1"/>
  <c r="BB43" i="1" s="1"/>
  <c r="Y43" i="1"/>
  <c r="B43" i="1"/>
  <c r="AF40" i="1"/>
  <c r="BE40" i="1" s="1"/>
  <c r="Z40" i="1"/>
  <c r="BB40" i="1" s="1"/>
  <c r="Y40" i="1"/>
  <c r="AC40" i="1"/>
  <c r="B40" i="1"/>
  <c r="AF37" i="1"/>
  <c r="BE37" i="1" s="1"/>
  <c r="Z37" i="1"/>
  <c r="BB37" i="1" s="1"/>
  <c r="AC37" i="1"/>
  <c r="B37" i="1"/>
  <c r="AF25" i="1"/>
  <c r="BE25" i="1" s="1"/>
  <c r="Z25" i="1"/>
  <c r="BB25" i="1" s="1"/>
  <c r="AC25" i="1"/>
  <c r="B25" i="1"/>
  <c r="AF14" i="1"/>
  <c r="BE14" i="1" s="1"/>
  <c r="Z14" i="1"/>
  <c r="BB14" i="1" s="1"/>
  <c r="Y14" i="1"/>
  <c r="B14" i="1"/>
  <c r="BW59" i="1" l="1"/>
  <c r="BX59" i="1"/>
  <c r="BV73" i="1"/>
  <c r="AY34" i="1"/>
  <c r="BV34" i="1"/>
  <c r="BV74" i="1"/>
  <c r="BV79" i="1"/>
  <c r="BV15" i="1"/>
  <c r="BV12" i="1"/>
  <c r="BN40" i="1"/>
  <c r="BF40" i="1"/>
  <c r="BN43" i="1"/>
  <c r="BF43" i="1"/>
  <c r="BN69" i="1"/>
  <c r="BF69" i="1"/>
  <c r="BN81" i="1"/>
  <c r="BF81" i="1"/>
  <c r="AX73" i="1"/>
  <c r="AY73" i="1" s="1"/>
  <c r="AV73" i="1"/>
  <c r="AX74" i="1"/>
  <c r="AY74" i="1" s="1"/>
  <c r="AV74" i="1"/>
  <c r="AX59" i="1"/>
  <c r="AY59" i="1" s="1"/>
  <c r="AV59" i="1"/>
  <c r="AV34" i="1"/>
  <c r="BN14" i="1"/>
  <c r="BF14" i="1"/>
  <c r="BF25" i="1"/>
  <c r="BN25" i="1"/>
  <c r="BN37" i="1"/>
  <c r="BF37" i="1"/>
  <c r="AH56" i="1"/>
  <c r="BB56" i="1"/>
  <c r="BF58" i="1"/>
  <c r="BN58" i="1"/>
  <c r="BF68" i="1"/>
  <c r="BN68" i="1"/>
  <c r="BN88" i="1"/>
  <c r="BF88" i="1"/>
  <c r="BF2" i="1"/>
  <c r="BN2" i="1"/>
  <c r="AX79" i="1"/>
  <c r="AY79" i="1" s="1"/>
  <c r="AV79" i="1"/>
  <c r="AX12" i="1"/>
  <c r="AY12" i="1" s="1"/>
  <c r="AV12" i="1"/>
  <c r="AX15" i="1"/>
  <c r="AY15" i="1" s="1"/>
  <c r="AV15" i="1"/>
  <c r="AC14" i="1"/>
  <c r="AG40" i="1"/>
  <c r="AU40" i="1" s="1"/>
  <c r="AG93" i="1"/>
  <c r="AU93" i="1" s="1"/>
  <c r="BV93" i="1" s="1"/>
  <c r="AG37" i="1"/>
  <c r="AG43" i="1"/>
  <c r="AG58" i="1"/>
  <c r="AH68" i="1"/>
  <c r="AG68" i="1"/>
  <c r="AH69" i="1"/>
  <c r="AG69" i="1"/>
  <c r="AH88" i="1"/>
  <c r="AG25" i="1"/>
  <c r="AT56" i="1"/>
  <c r="BU56" i="1" s="1"/>
  <c r="BV56" i="1" s="1"/>
  <c r="AG81" i="1"/>
  <c r="AG88" i="1"/>
  <c r="AH43" i="1"/>
  <c r="AH58" i="1"/>
  <c r="AH25" i="1"/>
  <c r="AH2" i="1"/>
  <c r="AH81" i="1"/>
  <c r="AH14" i="1"/>
  <c r="AT14" i="1" s="1"/>
  <c r="BU14" i="1" s="1"/>
  <c r="AH37" i="1"/>
  <c r="AH40" i="1"/>
  <c r="AG2" i="1"/>
  <c r="AG14" i="1"/>
  <c r="BX12" i="1" l="1"/>
  <c r="BW12" i="1"/>
  <c r="BY12" i="1" s="1"/>
  <c r="BW15" i="1"/>
  <c r="BY15" i="1" s="1"/>
  <c r="BX15" i="1"/>
  <c r="BW79" i="1"/>
  <c r="BX79" i="1"/>
  <c r="BX74" i="1"/>
  <c r="BW74" i="1"/>
  <c r="BW34" i="1"/>
  <c r="BX34" i="1"/>
  <c r="BW56" i="1"/>
  <c r="BX56" i="1"/>
  <c r="BW73" i="1"/>
  <c r="BX73" i="1"/>
  <c r="BX93" i="1"/>
  <c r="BW93" i="1"/>
  <c r="BY93" i="1" s="1"/>
  <c r="BY59" i="1"/>
  <c r="AX14" i="1"/>
  <c r="AX56" i="1"/>
  <c r="AY56" i="1" s="1"/>
  <c r="AV56" i="1"/>
  <c r="AY93" i="1"/>
  <c r="AV93" i="1"/>
  <c r="BF56" i="1"/>
  <c r="BN56" i="1"/>
  <c r="AU14" i="1"/>
  <c r="AU81" i="1"/>
  <c r="AU25" i="1"/>
  <c r="AU69" i="1"/>
  <c r="AU68" i="1"/>
  <c r="AU58" i="1"/>
  <c r="AU37" i="1"/>
  <c r="AU88" i="1"/>
  <c r="AU43" i="1"/>
  <c r="AT43" i="1"/>
  <c r="BU43" i="1" s="1"/>
  <c r="AT69" i="1"/>
  <c r="BU69" i="1" s="1"/>
  <c r="AT68" i="1"/>
  <c r="BU68" i="1" s="1"/>
  <c r="AU2" i="1"/>
  <c r="AT40" i="1"/>
  <c r="BU40" i="1" s="1"/>
  <c r="BV40" i="1" s="1"/>
  <c r="AT2" i="1"/>
  <c r="BU2" i="1" s="1"/>
  <c r="AT25" i="1"/>
  <c r="BU25" i="1" s="1"/>
  <c r="AT37" i="1"/>
  <c r="BU37" i="1" s="1"/>
  <c r="AT81" i="1"/>
  <c r="BU81" i="1" s="1"/>
  <c r="AT88" i="1"/>
  <c r="BU88" i="1" s="1"/>
  <c r="AT58" i="1"/>
  <c r="BU58" i="1" s="1"/>
  <c r="BY74" i="1" l="1"/>
  <c r="BY56" i="1"/>
  <c r="BV43" i="1"/>
  <c r="BY34" i="1"/>
  <c r="BY79" i="1"/>
  <c r="BW40" i="1"/>
  <c r="BX40" i="1"/>
  <c r="BY73" i="1"/>
  <c r="BV88" i="1"/>
  <c r="BV58" i="1"/>
  <c r="BV69" i="1"/>
  <c r="BV81" i="1"/>
  <c r="BV2" i="1"/>
  <c r="BV37" i="1"/>
  <c r="BV68" i="1"/>
  <c r="BV25" i="1"/>
  <c r="AY14" i="1"/>
  <c r="BV14" i="1"/>
  <c r="AX88" i="1"/>
  <c r="AY88" i="1" s="1"/>
  <c r="AV88" i="1"/>
  <c r="AX37" i="1"/>
  <c r="AY37" i="1" s="1"/>
  <c r="AV37" i="1"/>
  <c r="AX2" i="1"/>
  <c r="AY2" i="1" s="1"/>
  <c r="AV2" i="1"/>
  <c r="AX69" i="1"/>
  <c r="AY69" i="1" s="1"/>
  <c r="AV69" i="1"/>
  <c r="AX58" i="1"/>
  <c r="AV58" i="1"/>
  <c r="AX81" i="1"/>
  <c r="AY81" i="1" s="1"/>
  <c r="AV81" i="1"/>
  <c r="AX25" i="1"/>
  <c r="AV25" i="1"/>
  <c r="AX40" i="1"/>
  <c r="AY40" i="1" s="1"/>
  <c r="AV40" i="1"/>
  <c r="AX68" i="1"/>
  <c r="AY68" i="1" s="1"/>
  <c r="AV68" i="1"/>
  <c r="AX43" i="1"/>
  <c r="AY43" i="1" s="1"/>
  <c r="AV43" i="1"/>
  <c r="AV14" i="1"/>
  <c r="AY58" i="1"/>
  <c r="BW88" i="1" l="1"/>
  <c r="BX88" i="1"/>
  <c r="AY25" i="1"/>
  <c r="BX81" i="1"/>
  <c r="BW81" i="1"/>
  <c r="BY81" i="1" s="1"/>
  <c r="BW14" i="1"/>
  <c r="BX14" i="1"/>
  <c r="BW58" i="1"/>
  <c r="BX58" i="1"/>
  <c r="BW25" i="1"/>
  <c r="BX25" i="1"/>
  <c r="BW68" i="1"/>
  <c r="BY68" i="1" s="1"/>
  <c r="BX68" i="1"/>
  <c r="BX37" i="1"/>
  <c r="BW37" i="1"/>
  <c r="BY37" i="1" s="1"/>
  <c r="BW69" i="1"/>
  <c r="BY69" i="1" s="1"/>
  <c r="BX69" i="1"/>
  <c r="BX2" i="1"/>
  <c r="BW2" i="1"/>
  <c r="BY2" i="1" s="1"/>
  <c r="BY40" i="1"/>
  <c r="BX43" i="1"/>
  <c r="BW43" i="1"/>
  <c r="BY43" i="1" s="1"/>
  <c r="BY58" i="1" l="1"/>
  <c r="BY25" i="1"/>
  <c r="BY14" i="1"/>
  <c r="BY88" i="1"/>
  <c r="CB72" i="1"/>
  <c r="CB8" i="1"/>
  <c r="CB65" i="1"/>
  <c r="CB6" i="1"/>
  <c r="CB5" i="1"/>
  <c r="CB9" i="1"/>
  <c r="CB3" i="1"/>
  <c r="CB74" i="1"/>
  <c r="CB52" i="1"/>
  <c r="CB71" i="1"/>
  <c r="CB91" i="1"/>
  <c r="CB45" i="1"/>
  <c r="CB73" i="1"/>
  <c r="CB69" i="1"/>
  <c r="CB66" i="1"/>
  <c r="CB68" i="1"/>
  <c r="CB50" i="1"/>
  <c r="CB70" i="1"/>
  <c r="CB33" i="1"/>
  <c r="CB64" i="1"/>
  <c r="CB44" i="1"/>
  <c r="CB21" i="1"/>
  <c r="CB7" i="1"/>
  <c r="CB76" i="1"/>
  <c r="CB2" i="1"/>
  <c r="CB67" i="1"/>
</calcChain>
</file>

<file path=xl/sharedStrings.xml><?xml version="1.0" encoding="utf-8"?>
<sst xmlns="http://schemas.openxmlformats.org/spreadsheetml/2006/main" count="451" uniqueCount="337">
  <si>
    <t>BER01401</t>
  </si>
  <si>
    <t>Riu Lliser</t>
  </si>
  <si>
    <t>Trenca arbres de 25 anys</t>
  </si>
  <si>
    <t>BNG07101</t>
  </si>
  <si>
    <t>BNG071</t>
  </si>
  <si>
    <t>Casa de Sestrada</t>
  </si>
  <si>
    <t>Casa destruida. Dos morts i un ferit</t>
  </si>
  <si>
    <t>BSC010</t>
  </si>
  <si>
    <t>Canal del Turó Punçó</t>
  </si>
  <si>
    <t>BXO012199501</t>
  </si>
  <si>
    <t>BXO012</t>
  </si>
  <si>
    <t>Planell de Prada</t>
  </si>
  <si>
    <t>BXO030199501</t>
  </si>
  <si>
    <t>BXO030</t>
  </si>
  <si>
    <t>BXO043199501</t>
  </si>
  <si>
    <t>BXO043</t>
  </si>
  <si>
    <t>La Pleta Picada</t>
  </si>
  <si>
    <t>ESN004XX</t>
  </si>
  <si>
    <t>ESN004</t>
  </si>
  <si>
    <t>Pala d'Eixe</t>
  </si>
  <si>
    <t>FLM15201</t>
  </si>
  <si>
    <t>FLM152</t>
  </si>
  <si>
    <t>Barranc de la Costa</t>
  </si>
  <si>
    <t>FRE00601</t>
  </si>
  <si>
    <t>FRE006</t>
  </si>
  <si>
    <t>GAR050</t>
  </si>
  <si>
    <t>Barranc deth Còth de Casthet (allau Bossost)</t>
  </si>
  <si>
    <t>GAR05002</t>
  </si>
  <si>
    <t>Ermita afectada</t>
  </si>
  <si>
    <t>GAR052XX</t>
  </si>
  <si>
    <t>GAR052</t>
  </si>
  <si>
    <t>Barranc de Sorieus</t>
  </si>
  <si>
    <t>GAR077XX</t>
  </si>
  <si>
    <t>GAR077</t>
  </si>
  <si>
    <t>Coma dera Escala</t>
  </si>
  <si>
    <t>GAR087XX</t>
  </si>
  <si>
    <t>GAR087</t>
  </si>
  <si>
    <t>Coma de Mieidia (Casarilh)</t>
  </si>
  <si>
    <t>GAR13302</t>
  </si>
  <si>
    <t>GAR133</t>
  </si>
  <si>
    <t>Barranc d'Arties</t>
  </si>
  <si>
    <t>GAR141</t>
  </si>
  <si>
    <t>Allau Garòs</t>
  </si>
  <si>
    <t>GAR141199301</t>
  </si>
  <si>
    <t>Tomba pals elèctrics</t>
  </si>
  <si>
    <t>GAR15002</t>
  </si>
  <si>
    <t>GAR150</t>
  </si>
  <si>
    <t>JOE001XX</t>
  </si>
  <si>
    <t>JOE001</t>
  </si>
  <si>
    <t>Pales de Poilaner</t>
  </si>
  <si>
    <t>LDR039XX</t>
  </si>
  <si>
    <t>LDR039</t>
  </si>
  <si>
    <t>Riu de Pometer</t>
  </si>
  <si>
    <t>LDR04801</t>
  </si>
  <si>
    <t>LDR048</t>
  </si>
  <si>
    <t>Riu de la Casa Valle (Boldís Jussà)</t>
  </si>
  <si>
    <t>LSA03101</t>
  </si>
  <si>
    <t>LSA031</t>
  </si>
  <si>
    <t>Torrent de la Ginebrosa</t>
  </si>
  <si>
    <t>MNY17002</t>
  </si>
  <si>
    <t>MNY170</t>
  </si>
  <si>
    <t>Barranc de Coma el Llavei</t>
  </si>
  <si>
    <t>Situa la destrucció de la Borda de Rafael per l'allau de la Pala Gran al mes de febrer entre l'any 1946 i 1948 i situa l'antiga borda uns 50 mts per damunt de l'actual.</t>
  </si>
  <si>
    <t>MOL049XX</t>
  </si>
  <si>
    <t>MOL049</t>
  </si>
  <si>
    <t>Es Malhs de dessus de casa</t>
  </si>
  <si>
    <t>NTR42501</t>
  </si>
  <si>
    <t>NTR425</t>
  </si>
  <si>
    <t>Obaga des Pins</t>
  </si>
  <si>
    <t>OSC013199501</t>
  </si>
  <si>
    <t>OSC013</t>
  </si>
  <si>
    <t>Torrent de Montaner</t>
  </si>
  <si>
    <t>OSC109199501</t>
  </si>
  <si>
    <t>OSC109</t>
  </si>
  <si>
    <t>Costa de Cervellà</t>
  </si>
  <si>
    <t>PAL38804</t>
  </si>
  <si>
    <t>PAL388</t>
  </si>
  <si>
    <t>Barranc de Clavera</t>
  </si>
  <si>
    <t>PEG002PRE56</t>
  </si>
  <si>
    <t>PEG002</t>
  </si>
  <si>
    <t>Pui Linya NE</t>
  </si>
  <si>
    <t>PEG008XX</t>
  </si>
  <si>
    <t>PEG008</t>
  </si>
  <si>
    <t>Pui Linya E. Costa dels Alls</t>
  </si>
  <si>
    <t>PMN16602</t>
  </si>
  <si>
    <t>PMN166</t>
  </si>
  <si>
    <t>Barranc de Tieso</t>
  </si>
  <si>
    <t>RIB022PRE56</t>
  </si>
  <si>
    <t>RIB022</t>
  </si>
  <si>
    <t>Canaus de Comtessa</t>
  </si>
  <si>
    <t>SDS161PRE56</t>
  </si>
  <si>
    <t>SDS161</t>
  </si>
  <si>
    <t>Barranc de Llordera</t>
  </si>
  <si>
    <t>SDS226PRE56</t>
  </si>
  <si>
    <t>SDS226</t>
  </si>
  <si>
    <t>Obaga de Coll de Pradell</t>
  </si>
  <si>
    <t>SDS228PRE56</t>
  </si>
  <si>
    <t>SDS228</t>
  </si>
  <si>
    <t>Baga de Serrat Negre</t>
  </si>
  <si>
    <t>SGR249200501</t>
  </si>
  <si>
    <t>SGR249</t>
  </si>
  <si>
    <t>Prat Rodó</t>
  </si>
  <si>
    <t>SGR250200501</t>
  </si>
  <si>
    <t>SGR250</t>
  </si>
  <si>
    <t>Canal de Prat Rodó</t>
  </si>
  <si>
    <t>SGR566PRE56</t>
  </si>
  <si>
    <t>SGR566</t>
  </si>
  <si>
    <t>Canal de l'Orri</t>
  </si>
  <si>
    <t>SGR596PRE56</t>
  </si>
  <si>
    <t>SGR596</t>
  </si>
  <si>
    <t>Torrent de la Pedrosa</t>
  </si>
  <si>
    <t>SMG133199501</t>
  </si>
  <si>
    <t>SMG133</t>
  </si>
  <si>
    <t>Barranc de Feneralba</t>
  </si>
  <si>
    <t>SMG136199501</t>
  </si>
  <si>
    <t>SMG136</t>
  </si>
  <si>
    <t>Torrent de la Costa</t>
  </si>
  <si>
    <t>TER016</t>
  </si>
  <si>
    <t>Font Blanca</t>
  </si>
  <si>
    <t>TER05701</t>
  </si>
  <si>
    <t>TER057</t>
  </si>
  <si>
    <t>Torrent de la Llissa</t>
  </si>
  <si>
    <t>TNT055XX</t>
  </si>
  <si>
    <t>TNT055</t>
  </si>
  <si>
    <t>Riu de les Cabanyeres</t>
  </si>
  <si>
    <t>TOR254XX</t>
  </si>
  <si>
    <t>TOR254</t>
  </si>
  <si>
    <t>Arraspes deth Plan</t>
  </si>
  <si>
    <t>TVC004XX</t>
  </si>
  <si>
    <t>TVC004</t>
  </si>
  <si>
    <t>Tuc del Caubo SO</t>
  </si>
  <si>
    <t>TVC53002</t>
  </si>
  <si>
    <t>TVC530</t>
  </si>
  <si>
    <t>Barranc de Mascaró</t>
  </si>
  <si>
    <t>Molts abets grossos</t>
  </si>
  <si>
    <t>UNH00301</t>
  </si>
  <si>
    <t>UNH003</t>
  </si>
  <si>
    <t>Es Arroquets</t>
  </si>
  <si>
    <t>UNH25501</t>
  </si>
  <si>
    <t>UNH255</t>
  </si>
  <si>
    <t>Planhèts d'Arenho</t>
  </si>
  <si>
    <t>UNH27203</t>
  </si>
  <si>
    <t>UNH272</t>
  </si>
  <si>
    <t>Solana d'Unha</t>
  </si>
  <si>
    <t>Destrueix unes quantes cases del poble, l'església i moren 15 persones. "En Uña baixa lo pobí y sen portà tota la vila amb mortalidat de quince persones en una casa en la cual se habian retirat per estar mes segurs.</t>
  </si>
  <si>
    <t>UNR027XX</t>
  </si>
  <si>
    <t>UNR027</t>
  </si>
  <si>
    <t>Barranc de Fontanes</t>
  </si>
  <si>
    <t>VFR007199501</t>
  </si>
  <si>
    <t>VFR007</t>
  </si>
  <si>
    <t>Costa dels Meners</t>
  </si>
  <si>
    <t>VFR015199501</t>
  </si>
  <si>
    <t>VFR015</t>
  </si>
  <si>
    <t>Barranc de Buscallado</t>
  </si>
  <si>
    <t>Barranc de Lloriga</t>
  </si>
  <si>
    <t>Zona nivo major</t>
  </si>
  <si>
    <t>Codi</t>
  </si>
  <si>
    <t>Zona allau</t>
  </si>
  <si>
    <t>Topònim</t>
  </si>
  <si>
    <t>Orientació</t>
  </si>
  <si>
    <t>Orientació 8 clas card</t>
  </si>
  <si>
    <t>Cota Sup Teòrica</t>
  </si>
  <si>
    <t>Cota inf</t>
  </si>
  <si>
    <t>Amplada càlcul</t>
  </si>
  <si>
    <t>Longitud proj.</t>
  </si>
  <si>
    <t>Superfície proj. (ha)</t>
  </si>
  <si>
    <t>Perfil arribada</t>
  </si>
  <si>
    <t>Cota inferior</t>
  </si>
  <si>
    <t>Pendent Perf 1</t>
  </si>
  <si>
    <t>Distància a P</t>
  </si>
  <si>
    <t>Longitud proj. (Pend. negatiu)</t>
  </si>
  <si>
    <t>Cota sup. (Pend neg.)</t>
  </si>
  <si>
    <t>Pendent negatiu</t>
  </si>
  <si>
    <t>Cota abast max</t>
  </si>
  <si>
    <t>Longitud proj. Total</t>
  </si>
  <si>
    <t>Lon. darrer canvi pend.</t>
  </si>
  <si>
    <t>Desn. Darrer canvi pend.</t>
  </si>
  <si>
    <t>Pend. Darrer canvi pend.</t>
  </si>
  <si>
    <t>Longitud proj. Teòr.</t>
  </si>
  <si>
    <t>Desnivell teoric</t>
  </si>
  <si>
    <r>
      <t xml:space="preserve">Pendent </t>
    </r>
    <r>
      <rPr>
        <b/>
        <sz val="7"/>
        <color indexed="10"/>
        <rFont val="Symbol"/>
        <family val="1"/>
        <charset val="2"/>
      </rPr>
      <t xml:space="preserve">a </t>
    </r>
    <r>
      <rPr>
        <b/>
        <sz val="7"/>
        <color indexed="10"/>
        <rFont val="Arial"/>
        <family val="2"/>
      </rPr>
      <t>teoric</t>
    </r>
  </si>
  <si>
    <r>
      <t xml:space="preserve">Pendent </t>
    </r>
    <r>
      <rPr>
        <b/>
        <sz val="7"/>
        <color indexed="10"/>
        <rFont val="Symbol"/>
        <family val="1"/>
        <charset val="2"/>
      </rPr>
      <t xml:space="preserve">b </t>
    </r>
    <r>
      <rPr>
        <b/>
        <sz val="7"/>
        <color indexed="10"/>
        <rFont val="Arial"/>
        <family val="2"/>
      </rPr>
      <t>teòric</t>
    </r>
  </si>
  <si>
    <t>Superfície
Desforest (Ha)</t>
  </si>
  <si>
    <t>Danys materials</t>
  </si>
  <si>
    <t>T estimat</t>
  </si>
  <si>
    <t>FRE045199101</t>
  </si>
  <si>
    <t>Torrent de Costa Rubí (Balandrau)</t>
  </si>
  <si>
    <t>GAR17503</t>
  </si>
  <si>
    <t>Camping Les</t>
  </si>
  <si>
    <t>MOL043XX</t>
  </si>
  <si>
    <t>Barranc deth Pòrt</t>
  </si>
  <si>
    <t>NTR33703</t>
  </si>
  <si>
    <t>Pedregana</t>
  </si>
  <si>
    <t>OSC008199501</t>
  </si>
  <si>
    <t>PEG01201</t>
  </si>
  <si>
    <t>Barranc de Fonguera, Pletiu de Lladres</t>
  </si>
  <si>
    <t>Va trencar la casa.</t>
  </si>
  <si>
    <t>RDT18302</t>
  </si>
  <si>
    <t>Barranc de Palomer</t>
  </si>
  <si>
    <t>SGR647199501</t>
  </si>
  <si>
    <t>Les Canaletes</t>
  </si>
  <si>
    <t>SMG048199501</t>
  </si>
  <si>
    <t>Barranc de l'Àrtic</t>
  </si>
  <si>
    <t>TOR00803</t>
  </si>
  <si>
    <t>Montlude nord</t>
  </si>
  <si>
    <t>UNH00502</t>
  </si>
  <si>
    <t>Es va endur una borda que hi havia a l'entrada del poble</t>
  </si>
  <si>
    <t>UNH25603</t>
  </si>
  <si>
    <t>Barranc de Pardies</t>
  </si>
  <si>
    <t>VFR008199501</t>
  </si>
  <si>
    <t>ARE006201401</t>
  </si>
  <si>
    <t>Refugi Vallferrera</t>
  </si>
  <si>
    <t>a</t>
  </si>
  <si>
    <t>b</t>
  </si>
  <si>
    <t>ECR401199501</t>
  </si>
  <si>
    <t>ECR401</t>
  </si>
  <si>
    <t>Torrent de Botero</t>
  </si>
  <si>
    <t>FLM54401</t>
  </si>
  <si>
    <t>Barranc de Valldomars</t>
  </si>
  <si>
    <t>FRE25301</t>
  </si>
  <si>
    <t>Torrent de la Ruira</t>
  </si>
  <si>
    <t>JOE011XX</t>
  </si>
  <si>
    <t>JOE011</t>
  </si>
  <si>
    <t>Barranc de Bernatet</t>
  </si>
  <si>
    <t>JOE087XX</t>
  </si>
  <si>
    <t>JOE087</t>
  </si>
  <si>
    <t>Pala Nosta Senhora</t>
  </si>
  <si>
    <t>LSA02803</t>
  </si>
  <si>
    <t>Torrent de Roquesblanques</t>
  </si>
  <si>
    <t>NTR00401</t>
  </si>
  <si>
    <t>Barranc de Comaloformo</t>
  </si>
  <si>
    <t>PAL21201</t>
  </si>
  <si>
    <t>PAL212</t>
  </si>
  <si>
    <t>Barranc de Campaus</t>
  </si>
  <si>
    <t>PAL330XX</t>
  </si>
  <si>
    <t>PAL330</t>
  </si>
  <si>
    <t>Malls de Mongós</t>
  </si>
  <si>
    <t>PAL35601</t>
  </si>
  <si>
    <t>PAL356</t>
  </si>
  <si>
    <t>Barranc des Vinyals</t>
  </si>
  <si>
    <t>Fa potser 100 anys la ventada ve trencar les bordes. No recorda morts. El dia de Pasqua un viatger que venia de la Vall d’Aran va donar la notícia que les bordes havien desaparegut colgades per una allau que s’havia esllavissat del barranc dels Vinyals. Els veïns es van esfereir: aquell any precisament els pastors feia poc que hi havien pujat amb el bestiar perquè el bon temps s’havia avançat. Els homes d’Alós van córrer anar-hi armats amb pales i tota mena d’estris per apartar la neu. Després de descolgar desenes de vaques i d’egües mortes, van trobar finalment els cadàvers dels pastors. Eren tots set a la mateixa borda i en una situació molt estranya: cadascun d’ells tenia un pam de llonganissa cuita clavat a la boca, com si fumessin un caliquenyo. Amb l’ajut del rector els veïns van deduir que la desgràcia havia passat el Divendres Sant, que Déu els havia castigat perquè menjant llonganissa, trencaven el dejuni i abstinència d’aquell dia sagrat.</t>
  </si>
  <si>
    <t>RDT19601</t>
  </si>
  <si>
    <t>SNC052XXA</t>
  </si>
  <si>
    <t>Casesnoves</t>
  </si>
  <si>
    <t>SNC052XXB</t>
  </si>
  <si>
    <t>TER19001</t>
  </si>
  <si>
    <t>Torrent Gran</t>
  </si>
  <si>
    <t>VFR22301</t>
  </si>
  <si>
    <t>VFR223</t>
  </si>
  <si>
    <t>Pla de Boet</t>
  </si>
  <si>
    <t>VFR556PRE56</t>
  </si>
  <si>
    <t>VFR556</t>
  </si>
  <si>
    <t>Torrent del Mercat</t>
  </si>
  <si>
    <t>Dist H100 m</t>
  </si>
  <si>
    <t>Zona climat (1(1+2); 2(3+4+5); 3(6+7)</t>
  </si>
  <si>
    <t>Con</t>
  </si>
  <si>
    <t>VFR42201</t>
  </si>
  <si>
    <t>VFR422</t>
  </si>
  <si>
    <t>Lonj. Canalitzada</t>
  </si>
  <si>
    <t>Long trajectòra Desforestada (m)</t>
  </si>
  <si>
    <t>Dist ZS-Inici zona desforestada</t>
  </si>
  <si>
    <t>% longitud desforestada</t>
  </si>
  <si>
    <t>% inici zona desforestada</t>
  </si>
  <si>
    <t>Barranc d'Àtics o de Bamoré</t>
  </si>
  <si>
    <t>PAL34101</t>
  </si>
  <si>
    <t>Canal de Serrello</t>
  </si>
  <si>
    <t>PAL351200401</t>
  </si>
  <si>
    <t>Barranc de Salau</t>
  </si>
  <si>
    <t>VFR005199501</t>
  </si>
  <si>
    <t>SMG113199501</t>
  </si>
  <si>
    <t>Riu de Bedet</t>
  </si>
  <si>
    <t>PAL376200401</t>
  </si>
  <si>
    <t>Torrent de la Tinta</t>
  </si>
  <si>
    <t>GAR14403</t>
  </si>
  <si>
    <t>Allau de Casarilh</t>
  </si>
  <si>
    <t>Arriba a la capella</t>
  </si>
  <si>
    <t>GAR15201</t>
  </si>
  <si>
    <t>Borda Gallimorta</t>
  </si>
  <si>
    <t>LDR073XX</t>
  </si>
  <si>
    <t>Canal d'Escarmes</t>
  </si>
  <si>
    <t>NUR12701</t>
  </si>
  <si>
    <t>Torrent de Roc Roig (Pla de Sallent)</t>
  </si>
  <si>
    <t>Pont  Cremallera, catenària</t>
  </si>
  <si>
    <t>PAL20501</t>
  </si>
  <si>
    <t>Barranc de Valaran</t>
  </si>
  <si>
    <t>SNC48904</t>
  </si>
  <si>
    <t>Canal de Pleta Mala</t>
  </si>
  <si>
    <t>VFR887XX</t>
  </si>
  <si>
    <t>Barranc de la Pleta dels Ceps</t>
  </si>
  <si>
    <t>Cartoveget 200405</t>
  </si>
  <si>
    <t>LDR074XX</t>
  </si>
  <si>
    <t>TER050PRE46</t>
  </si>
  <si>
    <t>LDR06503</t>
  </si>
  <si>
    <r>
      <t xml:space="preserve">Cota punt </t>
    </r>
    <r>
      <rPr>
        <b/>
        <sz val="7"/>
        <rFont val="Symbol"/>
        <family val="1"/>
        <charset val="2"/>
      </rPr>
      <t>b</t>
    </r>
  </si>
  <si>
    <t>y"</t>
  </si>
  <si>
    <t>Tipus dada</t>
  </si>
  <si>
    <t>BSC010PRE46</t>
  </si>
  <si>
    <t>TER016201501</t>
  </si>
  <si>
    <r>
      <t>Pendent 100 m (</t>
    </r>
    <r>
      <rPr>
        <b/>
        <sz val="7"/>
        <color indexed="10"/>
        <rFont val="Symbol"/>
        <family val="1"/>
        <charset val="2"/>
      </rPr>
      <t>q</t>
    </r>
    <r>
      <rPr>
        <b/>
        <sz val="7"/>
        <color indexed="10"/>
        <rFont val="Arial"/>
        <family val="2"/>
      </rPr>
      <t>)</t>
    </r>
  </si>
  <si>
    <t>Canalització (%)</t>
  </si>
  <si>
    <t>Àrea class</t>
  </si>
  <si>
    <t>Model a=0.77b-0.001L-0.65Azs+7.86</t>
  </si>
  <si>
    <t>Obs-Pred</t>
  </si>
  <si>
    <t>q</t>
  </si>
  <si>
    <t>x</t>
  </si>
  <si>
    <t>Ori</t>
  </si>
  <si>
    <t>NW</t>
  </si>
  <si>
    <t>SE</t>
  </si>
  <si>
    <t>Classes</t>
  </si>
  <si>
    <t>PT</t>
  </si>
  <si>
    <t>Azs</t>
  </si>
  <si>
    <t>Ozs</t>
  </si>
  <si>
    <t>Cli</t>
  </si>
  <si>
    <r>
      <t>H</t>
    </r>
    <r>
      <rPr>
        <sz val="7"/>
        <rFont val="Symbol"/>
        <family val="1"/>
        <charset val="2"/>
      </rPr>
      <t>b</t>
    </r>
  </si>
  <si>
    <r>
      <t>L</t>
    </r>
    <r>
      <rPr>
        <sz val="7"/>
        <rFont val="Symbol"/>
        <family val="1"/>
        <charset val="2"/>
      </rPr>
      <t>b</t>
    </r>
  </si>
  <si>
    <t>b-a</t>
  </si>
  <si>
    <t>q 2</t>
  </si>
  <si>
    <t>a=0,614+0,91b+0,001Lbeta-Ln(Azs)1,329</t>
  </si>
  <si>
    <r>
      <t>Error (</t>
    </r>
    <r>
      <rPr>
        <sz val="11"/>
        <color theme="1"/>
        <rFont val="Symbol"/>
        <family val="1"/>
        <charset val="2"/>
      </rPr>
      <t>a</t>
    </r>
    <r>
      <rPr>
        <sz val="11"/>
        <color theme="1"/>
        <rFont val="Calibri"/>
        <family val="2"/>
        <scheme val="minor"/>
      </rPr>
      <t xml:space="preserve"> obs - </t>
    </r>
    <r>
      <rPr>
        <sz val="11"/>
        <color theme="1"/>
        <rFont val="Symbol"/>
        <family val="1"/>
        <charset val="2"/>
      </rPr>
      <t>a</t>
    </r>
    <r>
      <rPr>
        <sz val="11"/>
        <color theme="1"/>
        <rFont val="Calibri"/>
        <family val="2"/>
        <scheme val="minor"/>
      </rPr>
      <t xml:space="preserve"> pred)</t>
    </r>
  </si>
  <si>
    <t>,+1SD</t>
  </si>
  <si>
    <t>,-1SD</t>
  </si>
  <si>
    <t>Code</t>
  </si>
  <si>
    <r>
      <t>a</t>
    </r>
    <r>
      <rPr>
        <sz val="8"/>
        <color theme="1"/>
        <rFont val="Times New Roman"/>
        <family val="1"/>
      </rPr>
      <t xml:space="preserve"> (º)</t>
    </r>
  </si>
  <si>
    <r>
      <t>b</t>
    </r>
    <r>
      <rPr>
        <sz val="8"/>
        <color theme="1"/>
        <rFont val="Times New Roman"/>
        <family val="1"/>
      </rPr>
      <t xml:space="preserve"> (º)</t>
    </r>
  </si>
  <si>
    <r>
      <t>q</t>
    </r>
    <r>
      <rPr>
        <sz val="8"/>
        <color theme="1"/>
        <rFont val="Times New Roman"/>
        <family val="1"/>
      </rPr>
      <t xml:space="preserve"> (º)</t>
    </r>
  </si>
  <si>
    <r>
      <t>y" (m</t>
    </r>
    <r>
      <rPr>
        <vertAlign val="superscript"/>
        <sz val="8"/>
        <color theme="1"/>
        <rFont val="Times New Roman"/>
        <family val="1"/>
      </rPr>
      <t>-1</t>
    </r>
    <r>
      <rPr>
        <sz val="8"/>
        <color theme="1"/>
        <rFont val="Times New Roman"/>
        <family val="1"/>
      </rPr>
      <t>)</t>
    </r>
  </si>
  <si>
    <r>
      <t>H</t>
    </r>
    <r>
      <rPr>
        <vertAlign val="subscript"/>
        <sz val="8"/>
        <color theme="1"/>
        <rFont val="Symbol"/>
        <family val="1"/>
        <charset val="2"/>
      </rPr>
      <t>b</t>
    </r>
    <r>
      <rPr>
        <sz val="8"/>
        <color theme="1"/>
        <rFont val="Times New Roman"/>
        <family val="1"/>
      </rPr>
      <t xml:space="preserve"> (m)</t>
    </r>
  </si>
  <si>
    <r>
      <t>L</t>
    </r>
    <r>
      <rPr>
        <vertAlign val="subscript"/>
        <sz val="8"/>
        <color theme="1"/>
        <rFont val="Symbol"/>
        <family val="1"/>
        <charset val="2"/>
      </rPr>
      <t>b</t>
    </r>
    <r>
      <rPr>
        <sz val="8"/>
        <color theme="1"/>
        <rFont val="Times New Roman"/>
        <family val="1"/>
      </rPr>
      <t xml:space="preserve"> (m)</t>
    </r>
  </si>
  <si>
    <t>PT (ordinal)</t>
  </si>
  <si>
    <t>Azs (ha)</t>
  </si>
  <si>
    <t>Ozs (º)</t>
  </si>
  <si>
    <t>Con (%)</t>
  </si>
  <si>
    <t>Cli (ordinal)</t>
  </si>
  <si>
    <t>Def (%)</t>
  </si>
  <si>
    <t>L_for (m)</t>
  </si>
  <si>
    <t>X (UTM 31N / ETRS89)</t>
  </si>
  <si>
    <t>Y (UTM 31N / ETRS89)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</si>
</sst>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
    <numFmt numFmtId="166" formatCode="0.0E+00"/>
  </numFmts>
  <fonts count="22" x14ac:knownFonts="1">
    <font>
      <sz val="11"/>
      <color theme="1"/>
      <name val="Calibri"/>
      <family val="2"/>
      <scheme val="minor"/>
    </font>
    <font>
      <sz val="6"/>
      <name val="Arial"/>
      <family val="2"/>
    </font>
    <font>
      <sz val="6"/>
      <color rgb="FFFF0000"/>
      <name val="Arial"/>
      <family val="2"/>
    </font>
    <font>
      <i/>
      <sz val="6"/>
      <name val="Arial"/>
      <family val="2"/>
    </font>
    <font>
      <sz val="6"/>
      <color indexed="10"/>
      <name val="Arial"/>
      <family val="2"/>
    </font>
    <font>
      <b/>
      <sz val="7"/>
      <name val="Arial"/>
      <family val="2"/>
    </font>
    <font>
      <b/>
      <sz val="7"/>
      <color rgb="FFFF0000"/>
      <name val="Arial"/>
      <family val="2"/>
    </font>
    <font>
      <sz val="7"/>
      <name val="Arial"/>
      <family val="2"/>
    </font>
    <font>
      <b/>
      <sz val="7"/>
      <color indexed="10"/>
      <name val="Arial"/>
      <family val="2"/>
    </font>
    <font>
      <b/>
      <sz val="7"/>
      <color indexed="10"/>
      <name val="Symbol"/>
      <family val="1"/>
      <charset val="2"/>
    </font>
    <font>
      <b/>
      <sz val="6"/>
      <color rgb="FFFF0000"/>
      <name val="Arial"/>
      <family val="2"/>
    </font>
    <font>
      <sz val="11"/>
      <name val="Symbol"/>
      <family val="1"/>
      <charset val="2"/>
    </font>
    <font>
      <sz val="10"/>
      <name val="Arial"/>
      <family val="2"/>
    </font>
    <font>
      <b/>
      <sz val="7"/>
      <name val="Symbol"/>
      <family val="1"/>
      <charset val="2"/>
    </font>
    <font>
      <sz val="7"/>
      <name val="Symbol"/>
      <family val="1"/>
      <charset val="2"/>
    </font>
    <font>
      <sz val="11"/>
      <color theme="1"/>
      <name val="Symbol"/>
      <family val="1"/>
      <charset val="2"/>
    </font>
    <font>
      <sz val="8"/>
      <color theme="1"/>
      <name val="Calibri"/>
      <family val="2"/>
      <scheme val="minor"/>
    </font>
    <font>
      <sz val="8"/>
      <color theme="1"/>
      <name val="Symbol"/>
      <family val="1"/>
      <charset val="2"/>
    </font>
    <font>
      <sz val="8"/>
      <color theme="1"/>
      <name val="Times New Roman"/>
      <family val="1"/>
    </font>
    <font>
      <sz val="8"/>
      <name val="Times New Roman"/>
      <family val="1"/>
    </font>
    <font>
      <vertAlign val="superscript"/>
      <sz val="8"/>
      <color theme="1"/>
      <name val="Times New Roman"/>
      <family val="1"/>
    </font>
    <font>
      <vertAlign val="subscript"/>
      <sz val="8"/>
      <color theme="1"/>
      <name val="Symbol"/>
      <family val="1"/>
      <charset val="2"/>
    </font>
  </fonts>
  <fills count="11">
    <fill>
      <patternFill patternType="none"/>
    </fill>
    <fill>
      <patternFill patternType="gray125"/>
    </fill>
    <fill>
      <patternFill patternType="solid">
        <fgColor rgb="FFFFFF00"/>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rgb="FFCCFFCC"/>
        <bgColor indexed="64"/>
      </patternFill>
    </fill>
    <fill>
      <patternFill patternType="solid">
        <fgColor rgb="FFFFCC99"/>
        <bgColor indexed="64"/>
      </patternFill>
    </fill>
    <fill>
      <patternFill patternType="solid">
        <fgColor indexed="41"/>
        <bgColor indexed="64"/>
      </patternFill>
    </fill>
    <fill>
      <patternFill patternType="solid">
        <fgColor indexed="46"/>
        <bgColor indexed="64"/>
      </patternFill>
    </fill>
    <fill>
      <patternFill patternType="solid">
        <fgColor rgb="FF00FF00"/>
        <bgColor indexed="64"/>
      </patternFill>
    </fill>
  </fills>
  <borders count="12">
    <border>
      <left/>
      <right/>
      <top/>
      <bottom/>
      <diagonal/>
    </border>
    <border>
      <left style="medium">
        <color indexed="64"/>
      </left>
      <right/>
      <top/>
      <bottom/>
      <diagonal/>
    </border>
    <border>
      <left/>
      <right style="medium">
        <color indexed="64"/>
      </right>
      <top/>
      <bottom/>
      <diagonal/>
    </border>
    <border>
      <left style="thick">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right/>
      <top/>
      <bottom style="medium">
        <color indexed="64"/>
      </bottom>
      <diagonal/>
    </border>
    <border>
      <left style="thick">
        <color indexed="64"/>
      </left>
      <right/>
      <top/>
      <bottom style="medium">
        <color indexed="64"/>
      </bottom>
      <diagonal/>
    </border>
  </borders>
  <cellStyleXfs count="1">
    <xf numFmtId="0" fontId="0" fillId="0" borderId="0"/>
  </cellStyleXfs>
  <cellXfs count="144">
    <xf numFmtId="0" fontId="0" fillId="0" borderId="0" xfId="0"/>
    <xf numFmtId="49" fontId="1" fillId="0" borderId="0" xfId="0" applyNumberFormat="1" applyFont="1" applyFill="1" applyBorder="1"/>
    <xf numFmtId="3" fontId="2" fillId="0" borderId="0" xfId="0" applyNumberFormat="1" applyFont="1" applyFill="1" applyBorder="1"/>
    <xf numFmtId="0" fontId="1" fillId="0" borderId="0" xfId="0" applyFont="1" applyFill="1" applyBorder="1"/>
    <xf numFmtId="1" fontId="1" fillId="0" borderId="0" xfId="0" applyNumberFormat="1" applyFont="1" applyFill="1" applyBorder="1"/>
    <xf numFmtId="0" fontId="1" fillId="0" borderId="0" xfId="0" applyFont="1" applyFill="1"/>
    <xf numFmtId="1" fontId="1" fillId="0" borderId="1" xfId="0" applyNumberFormat="1" applyFont="1" applyFill="1" applyBorder="1" applyProtection="1">
      <protection locked="0"/>
    </xf>
    <xf numFmtId="0" fontId="3" fillId="0" borderId="0" xfId="0" applyFont="1" applyFill="1" applyBorder="1"/>
    <xf numFmtId="0" fontId="4" fillId="0" borderId="0" xfId="0" applyFont="1" applyFill="1" applyBorder="1" applyProtection="1">
      <protection locked="0"/>
    </xf>
    <xf numFmtId="0" fontId="3" fillId="0" borderId="0" xfId="0" applyFont="1" applyFill="1"/>
    <xf numFmtId="1" fontId="4" fillId="0" borderId="0" xfId="0" applyNumberFormat="1" applyFont="1" applyFill="1" applyAlignment="1" applyProtection="1">
      <alignment horizontal="right"/>
    </xf>
    <xf numFmtId="2" fontId="4" fillId="0" borderId="0" xfId="0" applyNumberFormat="1" applyFont="1" applyFill="1" applyAlignment="1" applyProtection="1">
      <alignment horizontal="right"/>
    </xf>
    <xf numFmtId="1" fontId="4" fillId="0" borderId="0" xfId="0" applyNumberFormat="1" applyFont="1" applyFill="1" applyBorder="1"/>
    <xf numFmtId="0" fontId="1" fillId="0" borderId="3" xfId="0" applyFont="1" applyFill="1" applyBorder="1"/>
    <xf numFmtId="1" fontId="1" fillId="0" borderId="0" xfId="0" applyNumberFormat="1" applyFont="1" applyFill="1" applyAlignment="1" applyProtection="1">
      <alignment horizontal="right"/>
    </xf>
    <xf numFmtId="2" fontId="1" fillId="0" borderId="3" xfId="0" applyNumberFormat="1" applyFont="1" applyFill="1" applyBorder="1"/>
    <xf numFmtId="2" fontId="1" fillId="0" borderId="0" xfId="0" applyNumberFormat="1" applyFont="1" applyFill="1" applyBorder="1"/>
    <xf numFmtId="1" fontId="1" fillId="0" borderId="0" xfId="0" applyNumberFormat="1" applyFont="1" applyFill="1"/>
    <xf numFmtId="2" fontId="1" fillId="0" borderId="0" xfId="0" applyNumberFormat="1" applyFont="1" applyFill="1"/>
    <xf numFmtId="1" fontId="3" fillId="0" borderId="0" xfId="0" applyNumberFormat="1" applyFont="1" applyFill="1" applyBorder="1"/>
    <xf numFmtId="49" fontId="1" fillId="0" borderId="0" xfId="0" applyNumberFormat="1" applyFont="1" applyFill="1"/>
    <xf numFmtId="0" fontId="7" fillId="0" borderId="0" xfId="0" applyFont="1"/>
    <xf numFmtId="0" fontId="6" fillId="0" borderId="8" xfId="0" applyNumberFormat="1" applyFont="1" applyBorder="1" applyAlignment="1">
      <alignment horizontal="center" textRotation="90"/>
    </xf>
    <xf numFmtId="49" fontId="5" fillId="0" borderId="8" xfId="0" applyNumberFormat="1" applyFont="1" applyBorder="1" applyAlignment="1">
      <alignment horizontal="center" textRotation="90"/>
    </xf>
    <xf numFmtId="0" fontId="8" fillId="4" borderId="5" xfId="0" applyFont="1" applyFill="1" applyBorder="1" applyAlignment="1" applyProtection="1">
      <alignment horizontal="center" textRotation="90" wrapText="1"/>
      <protection locked="0"/>
    </xf>
    <xf numFmtId="0" fontId="5" fillId="4" borderId="7" xfId="0" applyFont="1" applyFill="1" applyBorder="1" applyAlignment="1">
      <alignment horizontal="center" textRotation="90" wrapText="1"/>
    </xf>
    <xf numFmtId="0" fontId="8" fillId="4" borderId="8" xfId="0" applyFont="1" applyFill="1" applyBorder="1" applyAlignment="1">
      <alignment horizontal="center" textRotation="90" wrapText="1"/>
    </xf>
    <xf numFmtId="1" fontId="5" fillId="5" borderId="5" xfId="0" applyNumberFormat="1" applyFont="1" applyFill="1" applyBorder="1" applyAlignment="1">
      <alignment horizontal="center" textRotation="90" wrapText="1"/>
    </xf>
    <xf numFmtId="1" fontId="5" fillId="5" borderId="7" xfId="0" applyNumberFormat="1" applyFont="1" applyFill="1" applyBorder="1" applyAlignment="1">
      <alignment horizontal="center" textRotation="90" wrapText="1"/>
    </xf>
    <xf numFmtId="1" fontId="8" fillId="5" borderId="7" xfId="0" applyNumberFormat="1" applyFont="1" applyFill="1" applyBorder="1" applyAlignment="1">
      <alignment horizontal="center" textRotation="90" wrapText="1"/>
    </xf>
    <xf numFmtId="1" fontId="5" fillId="6" borderId="7" xfId="0" applyNumberFormat="1" applyFont="1" applyFill="1" applyBorder="1" applyAlignment="1">
      <alignment horizontal="center" textRotation="90" wrapText="1"/>
    </xf>
    <xf numFmtId="1" fontId="8" fillId="6" borderId="7" xfId="0" applyNumberFormat="1" applyFont="1" applyFill="1" applyBorder="1" applyAlignment="1">
      <alignment horizontal="center" textRotation="90" wrapText="1"/>
    </xf>
    <xf numFmtId="0" fontId="5" fillId="3" borderId="5" xfId="0" applyFont="1" applyFill="1" applyBorder="1" applyAlignment="1">
      <alignment horizontal="center" textRotation="90" wrapText="1"/>
    </xf>
    <xf numFmtId="0" fontId="8" fillId="3" borderId="8" xfId="0" applyFont="1" applyFill="1" applyBorder="1" applyAlignment="1">
      <alignment horizontal="center" textRotation="90" wrapText="1"/>
    </xf>
    <xf numFmtId="0" fontId="8" fillId="7" borderId="8" xfId="0" applyFont="1" applyFill="1" applyBorder="1" applyAlignment="1">
      <alignment horizontal="center" textRotation="90" wrapText="1"/>
    </xf>
    <xf numFmtId="2" fontId="5" fillId="8" borderId="9" xfId="0" applyNumberFormat="1" applyFont="1" applyFill="1" applyBorder="1" applyAlignment="1">
      <alignment horizontal="center" textRotation="90" wrapText="1"/>
    </xf>
    <xf numFmtId="2" fontId="5" fillId="8" borderId="6" xfId="0" applyNumberFormat="1" applyFont="1" applyFill="1" applyBorder="1" applyAlignment="1">
      <alignment horizontal="center" textRotation="90" wrapText="1"/>
    </xf>
    <xf numFmtId="0" fontId="5" fillId="0" borderId="3" xfId="0" applyFont="1" applyBorder="1" applyAlignment="1">
      <alignment horizontal="center" textRotation="90"/>
    </xf>
    <xf numFmtId="49" fontId="5" fillId="0" borderId="7" xfId="0" applyNumberFormat="1" applyFont="1" applyFill="1" applyBorder="1" applyAlignment="1">
      <alignment horizontal="center" textRotation="90"/>
    </xf>
    <xf numFmtId="0" fontId="0" fillId="0" borderId="0" xfId="0" applyFill="1"/>
    <xf numFmtId="0" fontId="5" fillId="0" borderId="0" xfId="0" applyFont="1" applyBorder="1" applyAlignment="1">
      <alignment horizontal="center" textRotation="90"/>
    </xf>
    <xf numFmtId="1" fontId="7" fillId="9" borderId="6" xfId="0" applyNumberFormat="1" applyFont="1" applyFill="1" applyBorder="1" applyAlignment="1">
      <alignment horizontal="center" textRotation="90" wrapText="1"/>
    </xf>
    <xf numFmtId="0" fontId="5" fillId="4" borderId="8" xfId="0" applyFont="1" applyFill="1" applyBorder="1" applyAlignment="1">
      <alignment horizontal="center" textRotation="90" wrapText="1"/>
    </xf>
    <xf numFmtId="49" fontId="1" fillId="0" borderId="0" xfId="0" applyNumberFormat="1" applyFont="1" applyFill="1" applyBorder="1" applyAlignment="1">
      <alignment vertical="center"/>
    </xf>
    <xf numFmtId="3" fontId="2" fillId="0" borderId="0" xfId="0" applyNumberFormat="1" applyFont="1" applyFill="1" applyBorder="1" applyAlignment="1">
      <alignment vertical="center"/>
    </xf>
    <xf numFmtId="0" fontId="1" fillId="0" borderId="0" xfId="0" applyFont="1" applyFill="1" applyBorder="1" applyAlignment="1">
      <alignment vertical="center"/>
    </xf>
    <xf numFmtId="1" fontId="1" fillId="0" borderId="0" xfId="0" applyNumberFormat="1" applyFont="1" applyFill="1" applyBorder="1" applyAlignment="1">
      <alignment vertical="center"/>
    </xf>
    <xf numFmtId="0" fontId="1" fillId="0" borderId="0" xfId="0" applyFont="1" applyFill="1" applyAlignment="1">
      <alignment vertical="center"/>
    </xf>
    <xf numFmtId="1" fontId="1" fillId="0" borderId="1" xfId="0" applyNumberFormat="1" applyFont="1" applyFill="1" applyBorder="1" applyAlignment="1" applyProtection="1">
      <alignment vertical="center"/>
      <protection locked="0"/>
    </xf>
    <xf numFmtId="0" fontId="3" fillId="0" borderId="0" xfId="0" applyFont="1" applyFill="1" applyBorder="1" applyAlignment="1">
      <alignment vertical="center"/>
    </xf>
    <xf numFmtId="2" fontId="4" fillId="0" borderId="0" xfId="0" applyNumberFormat="1" applyFont="1" applyFill="1" applyAlignment="1" applyProtection="1">
      <alignment horizontal="right" vertical="center"/>
    </xf>
    <xf numFmtId="1" fontId="4" fillId="0" borderId="0" xfId="0" applyNumberFormat="1" applyFont="1" applyFill="1" applyBorder="1" applyAlignment="1">
      <alignment vertical="center"/>
    </xf>
    <xf numFmtId="1" fontId="1" fillId="0" borderId="0" xfId="0" applyNumberFormat="1" applyFont="1" applyFill="1" applyAlignment="1" applyProtection="1">
      <alignment horizontal="right" vertical="center"/>
    </xf>
    <xf numFmtId="0" fontId="1" fillId="0" borderId="3" xfId="0" applyFont="1" applyFill="1" applyBorder="1" applyAlignment="1">
      <alignment vertical="center"/>
    </xf>
    <xf numFmtId="2" fontId="1" fillId="0" borderId="3" xfId="0" applyNumberFormat="1" applyFont="1" applyFill="1" applyBorder="1" applyAlignment="1">
      <alignment vertical="center"/>
    </xf>
    <xf numFmtId="2" fontId="1" fillId="0" borderId="0" xfId="0" applyNumberFormat="1" applyFont="1" applyFill="1" applyBorder="1" applyAlignment="1">
      <alignment vertical="center"/>
    </xf>
    <xf numFmtId="1" fontId="1" fillId="0" borderId="0" xfId="0" applyNumberFormat="1" applyFont="1" applyFill="1" applyAlignment="1">
      <alignment vertical="center"/>
    </xf>
    <xf numFmtId="2" fontId="1" fillId="0" borderId="0" xfId="0" applyNumberFormat="1" applyFont="1" applyFill="1" applyAlignment="1">
      <alignment vertical="center"/>
    </xf>
    <xf numFmtId="0" fontId="3" fillId="0" borderId="0" xfId="0" applyFont="1" applyFill="1" applyAlignment="1">
      <alignment vertical="center"/>
    </xf>
    <xf numFmtId="1" fontId="3" fillId="0" borderId="0" xfId="0" applyNumberFormat="1" applyFont="1" applyFill="1" applyBorder="1" applyAlignment="1">
      <alignment vertical="center"/>
    </xf>
    <xf numFmtId="49" fontId="1" fillId="0" borderId="0" xfId="0" applyNumberFormat="1" applyFont="1" applyFill="1" applyAlignment="1">
      <alignment vertical="center"/>
    </xf>
    <xf numFmtId="1" fontId="1" fillId="0" borderId="0" xfId="0" applyNumberFormat="1" applyFont="1" applyFill="1" applyBorder="1" applyAlignment="1" applyProtection="1">
      <alignment horizontal="right" vertical="center"/>
    </xf>
    <xf numFmtId="2" fontId="11" fillId="0" borderId="0" xfId="0" applyNumberFormat="1" applyFont="1" applyAlignment="1">
      <alignment horizontal="center"/>
    </xf>
    <xf numFmtId="2" fontId="0" fillId="0" borderId="0" xfId="0" applyNumberFormat="1"/>
    <xf numFmtId="165" fontId="1" fillId="0" borderId="0" xfId="0" applyNumberFormat="1" applyFont="1" applyFill="1"/>
    <xf numFmtId="165" fontId="1" fillId="0" borderId="0" xfId="0" applyNumberFormat="1" applyFont="1" applyFill="1" applyAlignment="1">
      <alignment vertical="center"/>
    </xf>
    <xf numFmtId="165" fontId="1" fillId="0" borderId="0" xfId="0" applyNumberFormat="1" applyFont="1" applyFill="1" applyBorder="1" applyAlignment="1">
      <alignment vertical="center"/>
    </xf>
    <xf numFmtId="0" fontId="1" fillId="0" borderId="0" xfId="0" applyNumberFormat="1" applyFont="1" applyFill="1" applyAlignment="1">
      <alignment vertical="center"/>
    </xf>
    <xf numFmtId="49" fontId="1" fillId="2" borderId="0" xfId="0" applyNumberFormat="1" applyFont="1" applyFill="1" applyBorder="1"/>
    <xf numFmtId="49" fontId="1" fillId="2" borderId="0" xfId="0" applyNumberFormat="1" applyFont="1" applyFill="1" applyBorder="1" applyAlignment="1">
      <alignment vertical="center"/>
    </xf>
    <xf numFmtId="49" fontId="1" fillId="2" borderId="0" xfId="0" applyNumberFormat="1" applyFont="1" applyFill="1" applyAlignment="1">
      <alignment vertical="center"/>
    </xf>
    <xf numFmtId="1" fontId="1" fillId="0" borderId="3" xfId="0" applyNumberFormat="1" applyFont="1" applyFill="1" applyBorder="1" applyAlignment="1">
      <alignment horizontal="left"/>
    </xf>
    <xf numFmtId="2" fontId="1" fillId="2" borderId="3" xfId="0" applyNumberFormat="1" applyFont="1" applyFill="1" applyBorder="1" applyAlignment="1">
      <alignment vertical="center"/>
    </xf>
    <xf numFmtId="2" fontId="5" fillId="8" borderId="5" xfId="0" applyNumberFormat="1" applyFont="1" applyFill="1" applyBorder="1" applyAlignment="1">
      <alignment horizontal="center" textRotation="90" wrapText="1"/>
    </xf>
    <xf numFmtId="2" fontId="6" fillId="8" borderId="5" xfId="0" applyNumberFormat="1" applyFont="1" applyFill="1" applyBorder="1" applyAlignment="1">
      <alignment horizontal="center" textRotation="90" wrapText="1"/>
    </xf>
    <xf numFmtId="164" fontId="2" fillId="0" borderId="0" xfId="0" applyNumberFormat="1" applyFont="1" applyFill="1" applyBorder="1"/>
    <xf numFmtId="1" fontId="1" fillId="0" borderId="2" xfId="0" applyNumberFormat="1" applyFont="1" applyFill="1" applyBorder="1"/>
    <xf numFmtId="49" fontId="1" fillId="10" borderId="0" xfId="0" applyNumberFormat="1" applyFont="1" applyFill="1" applyBorder="1"/>
    <xf numFmtId="2" fontId="10" fillId="0" borderId="0" xfId="0" applyNumberFormat="1" applyFont="1" applyFill="1" applyBorder="1"/>
    <xf numFmtId="1" fontId="5" fillId="10" borderId="5" xfId="0" applyNumberFormat="1" applyFont="1" applyFill="1" applyBorder="1" applyAlignment="1">
      <alignment horizontal="center" textRotation="90" wrapText="1"/>
    </xf>
    <xf numFmtId="2" fontId="8" fillId="10" borderId="8" xfId="0" applyNumberFormat="1" applyFont="1" applyFill="1" applyBorder="1" applyAlignment="1">
      <alignment horizontal="center" textRotation="90" wrapText="1"/>
    </xf>
    <xf numFmtId="0" fontId="5" fillId="10" borderId="5" xfId="0" applyFont="1" applyFill="1" applyBorder="1" applyAlignment="1">
      <alignment horizontal="center" textRotation="90" wrapText="1"/>
    </xf>
    <xf numFmtId="0" fontId="5" fillId="10" borderId="7" xfId="0" applyFont="1" applyFill="1" applyBorder="1" applyAlignment="1">
      <alignment horizontal="center" textRotation="90"/>
    </xf>
    <xf numFmtId="0" fontId="5" fillId="10" borderId="7" xfId="0" applyFont="1" applyFill="1" applyBorder="1" applyAlignment="1">
      <alignment horizontal="center" textRotation="90" wrapText="1"/>
    </xf>
    <xf numFmtId="0" fontId="12" fillId="3" borderId="4" xfId="0" applyFont="1" applyFill="1" applyBorder="1" applyAlignment="1">
      <alignment horizontal="center" wrapText="1"/>
    </xf>
    <xf numFmtId="164" fontId="4" fillId="0" borderId="0" xfId="0" applyNumberFormat="1" applyFont="1" applyFill="1" applyAlignment="1" applyProtection="1">
      <alignment horizontal="right" vertical="center"/>
    </xf>
    <xf numFmtId="164" fontId="4" fillId="0" borderId="0" xfId="0" applyNumberFormat="1" applyFont="1" applyFill="1" applyAlignment="1" applyProtection="1">
      <alignment horizontal="right"/>
    </xf>
    <xf numFmtId="164" fontId="4" fillId="2" borderId="0" xfId="0" applyNumberFormat="1" applyFont="1" applyFill="1" applyAlignment="1" applyProtection="1">
      <alignment horizontal="right"/>
    </xf>
    <xf numFmtId="1" fontId="5" fillId="10" borderId="0" xfId="0" applyNumberFormat="1" applyFont="1" applyFill="1" applyBorder="1" applyAlignment="1">
      <alignment horizontal="center" textRotation="90" wrapText="1"/>
    </xf>
    <xf numFmtId="1" fontId="6" fillId="10" borderId="0" xfId="0" applyNumberFormat="1" applyFont="1" applyFill="1" applyBorder="1" applyAlignment="1">
      <alignment horizontal="center" textRotation="90" wrapText="1"/>
    </xf>
    <xf numFmtId="1" fontId="2" fillId="0" borderId="0" xfId="0" applyNumberFormat="1" applyFont="1" applyFill="1" applyBorder="1"/>
    <xf numFmtId="0" fontId="3" fillId="0" borderId="10" xfId="0" applyFont="1" applyFill="1" applyBorder="1" applyAlignment="1">
      <alignment vertical="center"/>
    </xf>
    <xf numFmtId="0" fontId="4" fillId="0" borderId="10" xfId="0" applyFont="1" applyFill="1" applyBorder="1" applyProtection="1">
      <protection locked="0"/>
    </xf>
    <xf numFmtId="0" fontId="1" fillId="0" borderId="10" xfId="0" applyFont="1" applyFill="1" applyBorder="1" applyAlignment="1">
      <alignment vertical="center"/>
    </xf>
    <xf numFmtId="164" fontId="4" fillId="0" borderId="10" xfId="0" applyNumberFormat="1" applyFont="1" applyFill="1" applyBorder="1" applyAlignment="1" applyProtection="1">
      <alignment horizontal="right" vertical="center"/>
    </xf>
    <xf numFmtId="2" fontId="4" fillId="0" borderId="10" xfId="0" applyNumberFormat="1" applyFont="1" applyFill="1" applyBorder="1" applyAlignment="1" applyProtection="1">
      <alignment horizontal="right"/>
    </xf>
    <xf numFmtId="1" fontId="1" fillId="0" borderId="10" xfId="0" applyNumberFormat="1" applyFont="1" applyFill="1" applyBorder="1"/>
    <xf numFmtId="1" fontId="2" fillId="0" borderId="10" xfId="0" applyNumberFormat="1" applyFont="1" applyFill="1" applyBorder="1"/>
    <xf numFmtId="1" fontId="1" fillId="0" borderId="10" xfId="0" applyNumberFormat="1" applyFont="1" applyFill="1" applyBorder="1" applyAlignment="1">
      <alignment vertical="center"/>
    </xf>
    <xf numFmtId="1" fontId="4" fillId="0" borderId="10" xfId="0" applyNumberFormat="1" applyFont="1" applyFill="1" applyBorder="1" applyAlignment="1" applyProtection="1">
      <alignment horizontal="right"/>
    </xf>
    <xf numFmtId="1" fontId="4" fillId="0" borderId="10" xfId="0" applyNumberFormat="1" applyFont="1" applyFill="1" applyBorder="1"/>
    <xf numFmtId="0" fontId="1" fillId="0" borderId="10" xfId="0" applyFont="1" applyFill="1" applyBorder="1"/>
    <xf numFmtId="1" fontId="4" fillId="0" borderId="10" xfId="0" applyNumberFormat="1" applyFont="1" applyFill="1" applyBorder="1" applyAlignment="1">
      <alignment vertical="center"/>
    </xf>
    <xf numFmtId="2" fontId="4" fillId="0" borderId="10" xfId="0" applyNumberFormat="1" applyFont="1" applyFill="1" applyBorder="1" applyAlignment="1" applyProtection="1">
      <alignment horizontal="right" vertical="center"/>
    </xf>
    <xf numFmtId="2" fontId="1" fillId="0" borderId="10" xfId="0" applyNumberFormat="1" applyFont="1" applyFill="1" applyBorder="1" applyAlignment="1">
      <alignment vertical="center"/>
    </xf>
    <xf numFmtId="164" fontId="2" fillId="0" borderId="10" xfId="0" applyNumberFormat="1" applyFont="1" applyFill="1" applyBorder="1"/>
    <xf numFmtId="1" fontId="1" fillId="0" borderId="11" xfId="0" applyNumberFormat="1" applyFont="1" applyFill="1" applyBorder="1" applyAlignment="1">
      <alignment horizontal="left"/>
    </xf>
    <xf numFmtId="2" fontId="1" fillId="0" borderId="10" xfId="0" applyNumberFormat="1" applyFont="1" applyFill="1" applyBorder="1"/>
    <xf numFmtId="2" fontId="8" fillId="10" borderId="0" xfId="0" applyNumberFormat="1" applyFont="1" applyFill="1" applyBorder="1" applyAlignment="1">
      <alignment horizontal="center" textRotation="90" wrapText="1"/>
    </xf>
    <xf numFmtId="49" fontId="1" fillId="10" borderId="0" xfId="0" applyNumberFormat="1" applyFont="1" applyFill="1" applyBorder="1" applyAlignment="1">
      <alignment vertical="center"/>
    </xf>
    <xf numFmtId="1" fontId="1" fillId="0" borderId="2" xfId="0" applyNumberFormat="1" applyFont="1" applyFill="1" applyBorder="1" applyAlignment="1">
      <alignment vertical="center"/>
    </xf>
    <xf numFmtId="0" fontId="12" fillId="0" borderId="4" xfId="0" applyFont="1" applyFill="1" applyBorder="1" applyAlignment="1">
      <alignment horizontal="center" wrapText="1"/>
    </xf>
    <xf numFmtId="0" fontId="7" fillId="0" borderId="0" xfId="0" applyFont="1" applyAlignment="1">
      <alignment horizontal="center"/>
    </xf>
    <xf numFmtId="49" fontId="1" fillId="10" borderId="10" xfId="0" applyNumberFormat="1" applyFont="1" applyFill="1" applyBorder="1"/>
    <xf numFmtId="3" fontId="2" fillId="0" borderId="10" xfId="0" applyNumberFormat="1" applyFont="1" applyFill="1" applyBorder="1"/>
    <xf numFmtId="49" fontId="1" fillId="0" borderId="10" xfId="0" applyNumberFormat="1" applyFont="1" applyFill="1" applyBorder="1"/>
    <xf numFmtId="1" fontId="1" fillId="0" borderId="10" xfId="0" applyNumberFormat="1" applyFont="1" applyFill="1" applyBorder="1" applyProtection="1">
      <protection locked="0"/>
    </xf>
    <xf numFmtId="0" fontId="3" fillId="0" borderId="10" xfId="0" applyFont="1" applyFill="1" applyBorder="1"/>
    <xf numFmtId="164" fontId="4" fillId="0" borderId="0" xfId="0" applyNumberFormat="1" applyFont="1" applyFill="1" applyBorder="1" applyAlignment="1" applyProtection="1">
      <alignment horizontal="right" vertical="center"/>
    </xf>
    <xf numFmtId="2" fontId="4" fillId="0" borderId="0" xfId="0" applyNumberFormat="1" applyFont="1" applyFill="1" applyBorder="1" applyAlignment="1" applyProtection="1">
      <alignment horizontal="right"/>
    </xf>
    <xf numFmtId="1" fontId="4" fillId="0" borderId="0" xfId="0" applyNumberFormat="1" applyFont="1" applyFill="1" applyBorder="1" applyAlignment="1" applyProtection="1">
      <alignment horizontal="right"/>
    </xf>
    <xf numFmtId="1" fontId="1" fillId="0" borderId="10" xfId="0" applyNumberFormat="1" applyFont="1" applyFill="1" applyBorder="1" applyAlignment="1" applyProtection="1">
      <alignment horizontal="right"/>
    </xf>
    <xf numFmtId="2" fontId="4" fillId="0" borderId="0" xfId="0" applyNumberFormat="1" applyFont="1" applyFill="1" applyBorder="1" applyAlignment="1" applyProtection="1">
      <alignment horizontal="right" vertical="center"/>
    </xf>
    <xf numFmtId="1" fontId="1" fillId="0" borderId="0" xfId="0" applyNumberFormat="1" applyFont="1" applyFill="1" applyBorder="1" applyAlignment="1" applyProtection="1">
      <alignment horizontal="right"/>
    </xf>
    <xf numFmtId="164" fontId="4" fillId="0" borderId="0" xfId="0" applyNumberFormat="1" applyFont="1" applyFill="1" applyBorder="1" applyAlignment="1" applyProtection="1">
      <alignment horizontal="right"/>
    </xf>
    <xf numFmtId="165" fontId="1" fillId="0" borderId="0" xfId="0" applyNumberFormat="1" applyFont="1" applyFill="1" applyBorder="1"/>
    <xf numFmtId="0" fontId="16" fillId="0" borderId="0" xfId="0" applyFont="1"/>
    <xf numFmtId="0" fontId="16" fillId="0" borderId="0" xfId="0" applyFont="1" applyFill="1"/>
    <xf numFmtId="49" fontId="19" fillId="0" borderId="0" xfId="0" applyNumberFormat="1" applyFont="1" applyFill="1" applyBorder="1"/>
    <xf numFmtId="0" fontId="18" fillId="0" borderId="0" xfId="0" applyFont="1"/>
    <xf numFmtId="49" fontId="19" fillId="0" borderId="0" xfId="0" applyNumberFormat="1" applyFont="1" applyFill="1" applyBorder="1" applyAlignment="1">
      <alignment horizontal="center" wrapText="1"/>
    </xf>
    <xf numFmtId="0" fontId="17" fillId="0" borderId="0" xfId="0" applyFont="1" applyAlignment="1">
      <alignment horizontal="center" wrapText="1"/>
    </xf>
    <xf numFmtId="0" fontId="18" fillId="0" borderId="0" xfId="0" applyFont="1" applyAlignment="1">
      <alignment horizontal="center" wrapText="1"/>
    </xf>
    <xf numFmtId="0" fontId="16" fillId="0" borderId="0" xfId="0" applyFont="1" applyAlignment="1">
      <alignment horizontal="center" wrapText="1"/>
    </xf>
    <xf numFmtId="164" fontId="18" fillId="0" borderId="0" xfId="0" applyNumberFormat="1" applyFont="1"/>
    <xf numFmtId="166" fontId="18" fillId="0" borderId="0" xfId="0" applyNumberFormat="1" applyFont="1"/>
    <xf numFmtId="2" fontId="18" fillId="0" borderId="0" xfId="0" applyNumberFormat="1" applyFont="1"/>
    <xf numFmtId="1" fontId="18" fillId="0" borderId="0" xfId="0" applyNumberFormat="1" applyFont="1"/>
    <xf numFmtId="49" fontId="19" fillId="0" borderId="0" xfId="0" applyNumberFormat="1" applyFont="1" applyFill="1"/>
    <xf numFmtId="49" fontId="19" fillId="0" borderId="0" xfId="0" applyNumberFormat="1" applyFont="1" applyFill="1" applyBorder="1" applyAlignment="1">
      <alignment vertical="center"/>
    </xf>
    <xf numFmtId="49" fontId="19" fillId="0" borderId="0" xfId="0" applyNumberFormat="1" applyFont="1" applyFill="1" applyAlignment="1">
      <alignment vertical="center"/>
    </xf>
    <xf numFmtId="0" fontId="16" fillId="0" borderId="0" xfId="0" applyFont="1" applyFill="1" applyBorder="1"/>
    <xf numFmtId="1" fontId="16" fillId="0" borderId="0" xfId="0" applyNumberFormat="1" applyFont="1" applyFill="1"/>
    <xf numFmtId="2" fontId="19" fillId="0" borderId="0" xfId="0" applyNumberFormat="1" applyFont="1" applyFill="1" applyBorder="1" applyAlignment="1">
      <alignment horizontal="right"/>
    </xf>
  </cellXfs>
  <cellStyles count="1">
    <cellStyle name="Normal" xfId="0" builtinId="0"/>
  </cellStyles>
  <dxfs count="0"/>
  <tableStyles count="0" defaultTableStyle="TableStyleMedium9" defaultPivotStyle="PivotStyleLight16"/>
  <colors>
    <mruColors>
      <color rgb="FF00FF00"/>
      <color rgb="FFFFFFCC"/>
      <color rgb="FFFFE1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02"/>
  <sheetViews>
    <sheetView zoomScaleNormal="100" workbookViewId="0">
      <pane xSplit="3" ySplit="1" topLeftCell="W2" activePane="bottomRight" state="frozen"/>
      <selection pane="topRight" activeCell="D1" sqref="D1"/>
      <selection pane="bottomLeft" activeCell="A4" sqref="A4"/>
      <selection pane="bottomRight" activeCell="AE98" sqref="AE2:AE98"/>
    </sheetView>
  </sheetViews>
  <sheetFormatPr baseColWidth="10" defaultRowHeight="15" x14ac:dyDescent="0.25"/>
  <cols>
    <col min="1" max="1" width="11.42578125" style="39"/>
    <col min="2" max="2" width="5.85546875" customWidth="1"/>
    <col min="4" max="4" width="2.7109375" bestFit="1" customWidth="1"/>
    <col min="5" max="5" width="4.28515625" bestFit="1" customWidth="1"/>
    <col min="6" max="7" width="4.42578125" bestFit="1" customWidth="1"/>
    <col min="8" max="8" width="5.28515625" bestFit="1" customWidth="1"/>
    <col min="9" max="9" width="4.42578125" bestFit="1" customWidth="1"/>
    <col min="10" max="10" width="4" customWidth="1"/>
    <col min="11" max="11" width="4.5703125" customWidth="1"/>
    <col min="12" max="12" width="4.42578125" bestFit="1" customWidth="1"/>
    <col min="13" max="13" width="2.42578125" customWidth="1"/>
    <col min="14" max="14" width="4.5703125" bestFit="1" customWidth="1"/>
    <col min="15" max="15" width="3.140625" customWidth="1"/>
    <col min="16" max="16" width="2.85546875" customWidth="1"/>
    <col min="17" max="17" width="3.85546875" bestFit="1" customWidth="1"/>
    <col min="18" max="18" width="3.42578125" bestFit="1" customWidth="1"/>
    <col min="19" max="19" width="4.5703125" bestFit="1" customWidth="1"/>
    <col min="20" max="20" width="5.5703125" bestFit="1" customWidth="1"/>
    <col min="21" max="21" width="3.42578125" bestFit="1" customWidth="1"/>
    <col min="22" max="22" width="4.140625" customWidth="1"/>
    <col min="23" max="23" width="4.42578125" bestFit="1" customWidth="1"/>
    <col min="24" max="24" width="5.5703125" bestFit="1" customWidth="1"/>
    <col min="25" max="28" width="4.42578125" bestFit="1" customWidth="1"/>
    <col min="29" max="29" width="5.5703125" bestFit="1" customWidth="1"/>
    <col min="30" max="30" width="6" bestFit="1" customWidth="1"/>
    <col min="31" max="31" width="6" customWidth="1"/>
    <col min="32" max="32" width="4.42578125" bestFit="1" customWidth="1"/>
    <col min="33" max="33" width="4.7109375" customWidth="1"/>
    <col min="34" max="34" width="4.42578125" bestFit="1" customWidth="1"/>
    <col min="35" max="35" width="4.7109375" customWidth="1"/>
    <col min="36" max="37" width="4.28515625" customWidth="1"/>
    <col min="38" max="39" width="3.5703125" customWidth="1"/>
    <col min="40" max="40" width="12" customWidth="1"/>
    <col min="41" max="41" width="2.5703125" bestFit="1" customWidth="1"/>
    <col min="42" max="42" width="3.140625" bestFit="1" customWidth="1"/>
    <col min="43" max="43" width="3.140625" customWidth="1"/>
    <col min="44" max="44" width="2.140625" style="63" customWidth="1"/>
    <col min="45" max="47" width="5.42578125" customWidth="1"/>
    <col min="48" max="48" width="5" customWidth="1"/>
    <col min="49" max="49" width="5.42578125" customWidth="1"/>
    <col min="50" max="50" width="6.140625" customWidth="1"/>
    <col min="51" max="54" width="5.42578125" customWidth="1"/>
    <col min="55" max="55" width="4.140625" bestFit="1" customWidth="1"/>
    <col min="56" max="58" width="5.42578125" customWidth="1"/>
    <col min="59" max="60" width="3.85546875" customWidth="1"/>
    <col min="61" max="62" width="5.42578125" customWidth="1"/>
    <col min="63" max="71" width="3.28515625" customWidth="1"/>
    <col min="72" max="79" width="5.42578125" customWidth="1"/>
    <col min="80" max="81" width="3.28515625" customWidth="1"/>
    <col min="82" max="386" width="5.42578125" customWidth="1"/>
  </cols>
  <sheetData>
    <row r="1" spans="1:81" s="21" customFormat="1" ht="80.25" customHeight="1" x14ac:dyDescent="0.25">
      <c r="A1" s="38" t="s">
        <v>156</v>
      </c>
      <c r="B1" s="22" t="s">
        <v>157</v>
      </c>
      <c r="C1" s="23" t="s">
        <v>158</v>
      </c>
      <c r="D1" s="81" t="s">
        <v>295</v>
      </c>
      <c r="E1" s="81" t="s">
        <v>159</v>
      </c>
      <c r="F1" s="24" t="s">
        <v>160</v>
      </c>
      <c r="G1" s="25" t="s">
        <v>161</v>
      </c>
      <c r="H1" s="82" t="s">
        <v>162</v>
      </c>
      <c r="I1" s="83" t="s">
        <v>163</v>
      </c>
      <c r="J1" s="42" t="s">
        <v>253</v>
      </c>
      <c r="K1" s="26" t="s">
        <v>298</v>
      </c>
      <c r="L1" s="80" t="s">
        <v>165</v>
      </c>
      <c r="M1" s="108" t="s">
        <v>300</v>
      </c>
      <c r="N1" s="88" t="s">
        <v>258</v>
      </c>
      <c r="O1" s="89" t="s">
        <v>299</v>
      </c>
      <c r="P1" s="79" t="s">
        <v>166</v>
      </c>
      <c r="Q1" s="27" t="s">
        <v>293</v>
      </c>
      <c r="R1" s="28" t="s">
        <v>164</v>
      </c>
      <c r="S1" s="28" t="s">
        <v>167</v>
      </c>
      <c r="T1" s="29" t="s">
        <v>168</v>
      </c>
      <c r="U1" s="28" t="s">
        <v>169</v>
      </c>
      <c r="V1" s="28" t="s">
        <v>170</v>
      </c>
      <c r="W1" s="28" t="s">
        <v>171</v>
      </c>
      <c r="X1" s="29" t="s">
        <v>172</v>
      </c>
      <c r="Y1" s="28" t="s">
        <v>173</v>
      </c>
      <c r="Z1" s="29" t="s">
        <v>174</v>
      </c>
      <c r="AA1" s="30" t="s">
        <v>175</v>
      </c>
      <c r="AB1" s="30" t="s">
        <v>176</v>
      </c>
      <c r="AC1" s="31" t="s">
        <v>177</v>
      </c>
      <c r="AD1" s="32" t="s">
        <v>178</v>
      </c>
      <c r="AE1" s="84" t="s">
        <v>294</v>
      </c>
      <c r="AF1" s="33" t="s">
        <v>179</v>
      </c>
      <c r="AG1" s="33" t="s">
        <v>180</v>
      </c>
      <c r="AH1" s="34" t="s">
        <v>181</v>
      </c>
      <c r="AI1" s="35" t="s">
        <v>182</v>
      </c>
      <c r="AJ1" s="73" t="s">
        <v>259</v>
      </c>
      <c r="AK1" s="73" t="s">
        <v>260</v>
      </c>
      <c r="AL1" s="74" t="s">
        <v>261</v>
      </c>
      <c r="AM1" s="74" t="s">
        <v>262</v>
      </c>
      <c r="AN1" s="36" t="s">
        <v>183</v>
      </c>
      <c r="AO1" s="41" t="s">
        <v>184</v>
      </c>
      <c r="AP1" s="37" t="s">
        <v>155</v>
      </c>
      <c r="AQ1" s="40" t="s">
        <v>254</v>
      </c>
      <c r="AR1" s="21" t="s">
        <v>304</v>
      </c>
      <c r="AS1" s="21" t="s">
        <v>304</v>
      </c>
      <c r="AT1" s="62" t="s">
        <v>213</v>
      </c>
      <c r="AU1" s="62" t="s">
        <v>212</v>
      </c>
      <c r="AV1" s="62" t="s">
        <v>315</v>
      </c>
      <c r="AW1" s="21" t="s">
        <v>304</v>
      </c>
      <c r="AX1" s="21" t="s">
        <v>301</v>
      </c>
      <c r="AY1" s="21" t="s">
        <v>302</v>
      </c>
      <c r="AZ1" s="21" t="s">
        <v>304</v>
      </c>
      <c r="BA1" s="112" t="s">
        <v>313</v>
      </c>
      <c r="BB1" s="112" t="s">
        <v>314</v>
      </c>
      <c r="BC1" s="62" t="s">
        <v>303</v>
      </c>
      <c r="BD1" s="111" t="s">
        <v>294</v>
      </c>
      <c r="BE1" s="112" t="s">
        <v>313</v>
      </c>
      <c r="BF1" s="112" t="s">
        <v>314</v>
      </c>
      <c r="BG1" s="112" t="s">
        <v>305</v>
      </c>
      <c r="BH1" s="112" t="s">
        <v>255</v>
      </c>
      <c r="BI1" s="62" t="s">
        <v>316</v>
      </c>
      <c r="BJ1" s="21" t="s">
        <v>308</v>
      </c>
      <c r="BK1" s="62" t="s">
        <v>303</v>
      </c>
      <c r="BL1" s="111" t="s">
        <v>294</v>
      </c>
      <c r="BM1" s="112" t="s">
        <v>313</v>
      </c>
      <c r="BN1" s="112" t="s">
        <v>314</v>
      </c>
      <c r="BO1" s="21" t="s">
        <v>309</v>
      </c>
      <c r="BP1" s="21" t="s">
        <v>310</v>
      </c>
      <c r="BQ1" s="21" t="s">
        <v>311</v>
      </c>
      <c r="BR1" s="21" t="s">
        <v>255</v>
      </c>
      <c r="BS1" s="21" t="s">
        <v>312</v>
      </c>
      <c r="BU1" s="21" t="s">
        <v>317</v>
      </c>
      <c r="BV1" s="21" t="s">
        <v>318</v>
      </c>
      <c r="BW1" s="21" t="s">
        <v>319</v>
      </c>
      <c r="BX1" s="21" t="s">
        <v>320</v>
      </c>
      <c r="CB1" s="21" t="s">
        <v>307</v>
      </c>
      <c r="CC1" s="21" t="s">
        <v>306</v>
      </c>
    </row>
    <row r="2" spans="1:81" s="5" customFormat="1" ht="9" customHeight="1" x14ac:dyDescent="0.15">
      <c r="A2" s="1" t="s">
        <v>210</v>
      </c>
      <c r="B2" s="2" t="str">
        <f>MID(A2,1,6)</f>
        <v>ARE006</v>
      </c>
      <c r="C2" s="1" t="s">
        <v>211</v>
      </c>
      <c r="D2" s="6">
        <v>1</v>
      </c>
      <c r="E2" s="7">
        <v>280</v>
      </c>
      <c r="F2" s="8">
        <f>IF(E2&lt;22.5,1,IF(E2&lt;67.5,2,IF(E2&lt;112.5,3,IF(E2&lt;157.5,4,IF(E2&lt;202.5,5,IF(E2&lt;247.5,6,IF(E2&lt;292.5,7,IF(E2&lt;337.5,8,"1"))))))))</f>
        <v>7</v>
      </c>
      <c r="G2" s="3">
        <v>2475</v>
      </c>
      <c r="H2" s="7">
        <v>2350</v>
      </c>
      <c r="I2" s="7">
        <v>101</v>
      </c>
      <c r="J2" s="3">
        <v>155</v>
      </c>
      <c r="K2" s="118">
        <f t="shared" ref="K2:K33" si="0">DEGREES(ATAN((100)/J2))</f>
        <v>32.828541791412533</v>
      </c>
      <c r="L2" s="119">
        <f t="shared" ref="L2:L33" si="1">((G2-H2)*I2)/10000</f>
        <v>1.2625</v>
      </c>
      <c r="M2" s="10">
        <f t="shared" ref="M2:M33" si="2">IF((L2*10000)&lt;5000,1,IF((L2*10000)&lt;25000,2,IF((L2*10000)&lt;60000,3,4)))</f>
        <v>2</v>
      </c>
      <c r="N2" s="4">
        <v>881</v>
      </c>
      <c r="O2" s="90">
        <f t="shared" ref="O2:O33" si="3">(N2/AD2)*100</f>
        <v>65.992509363295881</v>
      </c>
      <c r="P2" s="4">
        <v>1</v>
      </c>
      <c r="Q2" s="4">
        <v>1800</v>
      </c>
      <c r="R2" s="4"/>
      <c r="S2" s="4">
        <v>1805</v>
      </c>
      <c r="T2" s="118"/>
      <c r="U2" s="4">
        <v>23</v>
      </c>
      <c r="V2" s="4"/>
      <c r="W2" s="4"/>
      <c r="X2" s="120"/>
      <c r="Y2" s="123">
        <v>1805</v>
      </c>
      <c r="Z2" s="12">
        <f>R2+V2-U2</f>
        <v>-23</v>
      </c>
      <c r="AA2" s="4">
        <v>59</v>
      </c>
      <c r="AB2" s="4">
        <v>15</v>
      </c>
      <c r="AC2" s="124">
        <f>DEGREES(ATAN((AB2)/AA2))</f>
        <v>14.2645122980799</v>
      </c>
      <c r="AD2" s="13">
        <v>1335</v>
      </c>
      <c r="AE2" s="125">
        <f>0.0002*2</f>
        <v>4.0000000000000002E-4</v>
      </c>
      <c r="AF2" s="12">
        <f>G2-S2</f>
        <v>670</v>
      </c>
      <c r="AG2" s="119">
        <f t="shared" ref="AG2:AG33" si="4">DEGREES(ATAN((AF2)/AD2))</f>
        <v>26.650823238025115</v>
      </c>
      <c r="AH2" s="119">
        <f t="shared" ref="AH2:AH33" si="5">DEGREES(ATAN((G2-Q2)/(AD2-Z2)))</f>
        <v>26.429880022338335</v>
      </c>
      <c r="AI2" s="15"/>
      <c r="AJ2" s="4">
        <v>377</v>
      </c>
      <c r="AK2" s="4">
        <v>955</v>
      </c>
      <c r="AL2" s="75">
        <f>(AJ2/AD2)*100</f>
        <v>28.239700374531836</v>
      </c>
      <c r="AM2" s="75">
        <f>(AK2/AD2)*100</f>
        <v>71.535580524344567</v>
      </c>
      <c r="AN2" s="16"/>
      <c r="AO2" s="4">
        <v>4</v>
      </c>
      <c r="AP2" s="13">
        <v>4</v>
      </c>
      <c r="AQ2" s="71">
        <f t="shared" ref="AQ2:AQ33" si="6">IF(AP2=1,1,IF(AP2=2,1,IF(AP2=3,2,IF(AP2=4,2,IF(AP2=5,2,3)))))</f>
        <v>2</v>
      </c>
      <c r="AT2" s="18">
        <f t="shared" ref="AT2:AT33" si="7">AH2</f>
        <v>26.429880022338335</v>
      </c>
      <c r="AU2" s="18">
        <f t="shared" ref="AU2:AU33" si="8">AG2</f>
        <v>26.650823238025115</v>
      </c>
      <c r="AV2" s="18">
        <f t="shared" ref="AV2:AV33" si="9">AT2-AU2</f>
        <v>-0.22094321568678055</v>
      </c>
      <c r="AX2" s="18">
        <f t="shared" ref="AX2:AX33" si="10">(0.77*AT2)-(0.001*AD2)-(0.65*M2)+7.86</f>
        <v>25.576007617200517</v>
      </c>
      <c r="AY2" s="18">
        <f t="shared" ref="AY2:AY33" si="11">AU2-AX2</f>
        <v>1.074815620824598</v>
      </c>
      <c r="BA2" s="17">
        <f t="shared" ref="BA2:BA33" si="12">G2-Q2</f>
        <v>675</v>
      </c>
      <c r="BB2" s="17">
        <f t="shared" ref="BB2:BB33" si="13">AD2-Z2</f>
        <v>1358</v>
      </c>
      <c r="BC2" s="5" t="str">
        <f t="shared" ref="BC2:BC33" si="14">IF(K2&lt;30,"25-30",IF(K2&lt;35,"30-35",IF(K2&lt;40,"35-40","40-45")))</f>
        <v>30-35</v>
      </c>
      <c r="BD2" s="3" t="str">
        <f t="shared" ref="BD2:BD33" si="15">IF(AE2&lt;0.0002,"&lt;2EXP-4",IF(AE2&lt;0.0004,"2EXP-4-4EXP-4",IF(AE2&lt;0.0006,"4EXP-4-6EXP-4","6EXP-4-8EXP-4")))</f>
        <v>4EXP-4-6EXP-4</v>
      </c>
      <c r="BE2" s="5" t="str">
        <f t="shared" ref="BE2:BE33" si="16">IF(BA2&lt;600,"300-600",IF(AF2&lt;900,"600-900",IF(AF2&lt;1200,"900-1200","1200-1500")))</f>
        <v>600-900</v>
      </c>
      <c r="BF2" s="5" t="str">
        <f t="shared" ref="BF2:BF33" si="17">IF(BB2&lt;1000,"500-1000",IF(AD2&lt;1500,"1000-1500",IF(AD2&lt;2000,"1500-2000",IF(AD2&lt;2500,"2000-2500","&gt;2500"))))</f>
        <v>1000-1500</v>
      </c>
      <c r="BG2" s="5" t="str">
        <f t="shared" ref="BG2:BG33" si="18">IF(E2&lt;45,"NW",IF(E2&lt;225,"SE","NW"))</f>
        <v>NW</v>
      </c>
      <c r="BH2" s="5" t="str">
        <f t="shared" ref="BH2:BH33" si="19">IF(O2&lt;20,"0-20",IF(O2&lt;40,"20-40",IF(O2&lt;60,"40-60",IF(O2&lt;80,"60-80","80-100"))))</f>
        <v>60-80</v>
      </c>
      <c r="BI2" s="5" t="str">
        <f t="shared" ref="BI2:BI33" si="20">IF(K2&lt;30,"25-30",IF(K2&lt;33,"30-32",IF(K2&lt;34,"32-34",IF(K2&lt;36,"34-36",IF(K2&lt;38,"36-38",IF(K2&lt;40,"38-40",IF(K2&lt;42,"40-42","&gt;42")))))))</f>
        <v>30-32</v>
      </c>
      <c r="BK2" s="5">
        <f t="shared" ref="BK2:BK33" si="21">IF(K2&lt;30.1,0,1)</f>
        <v>1</v>
      </c>
      <c r="BL2" s="3">
        <f t="shared" ref="BL2:BL33" si="22">IF(AE2&lt;0.0006,0,1)</f>
        <v>0</v>
      </c>
      <c r="BM2" s="5">
        <f t="shared" ref="BM2:BM33" si="23">IF(BA2&lt;601,0,1)</f>
        <v>1</v>
      </c>
      <c r="BN2" s="5">
        <f t="shared" ref="BN2:BN33" si="24">IF(BB2&lt;2501,1,0)</f>
        <v>1</v>
      </c>
      <c r="BO2" s="5">
        <f t="shared" ref="BO2:BO33" si="25">IF(P2=1,0,IF(P2=4,0,1))</f>
        <v>0</v>
      </c>
      <c r="BP2" s="5">
        <f t="shared" ref="BP2:BP33" si="26">IF(M2&lt;2.5,1,0)</f>
        <v>1</v>
      </c>
      <c r="BQ2" s="5">
        <f t="shared" ref="BQ2:BQ33" si="27">IF(E2&lt;45,1,IF(E2&lt;225,0,1))</f>
        <v>1</v>
      </c>
      <c r="BR2" s="5">
        <f t="shared" ref="BR2:BR33" si="28">IF(O2&lt;60,1,0)</f>
        <v>0</v>
      </c>
      <c r="BS2" s="5">
        <f t="shared" ref="BS2:BS33" si="29">IF(AQ2=2,1,0)</f>
        <v>1</v>
      </c>
      <c r="BU2" s="18">
        <f t="shared" ref="BU2:BU33" si="30">0.614+(0.91*(AT2))+(0.001*(BB2))-((LN(L2))*1.329)</f>
        <v>25.713409050927442</v>
      </c>
      <c r="BV2" s="18">
        <f t="shared" ref="BV2:BV33" si="31">AU2-BU2</f>
        <v>0.93741418709767288</v>
      </c>
      <c r="BW2" s="18">
        <f t="shared" ref="BW2:BW33" si="32">BV2-1.63</f>
        <v>-0.69258581290232701</v>
      </c>
      <c r="BX2" s="18">
        <f t="shared" ref="BX2:BX33" si="33">BV2+1.63</f>
        <v>2.5674141870976728</v>
      </c>
      <c r="BY2" s="5" t="str">
        <f t="shared" ref="BY2:BY33" si="34">IF(BW2&gt;0,1,IF(BX2&lt;0,0,""))</f>
        <v/>
      </c>
      <c r="CB2" s="18" t="str">
        <f>IF($BG2=CB$1,$AI2," ")</f>
        <v xml:space="preserve"> </v>
      </c>
      <c r="CC2" s="18"/>
    </row>
    <row r="3" spans="1:81" s="5" customFormat="1" ht="9" customHeight="1" x14ac:dyDescent="0.15">
      <c r="A3" s="77" t="s">
        <v>0</v>
      </c>
      <c r="B3" s="2" t="str">
        <f>MID(A3,1,6)</f>
        <v>BER014</v>
      </c>
      <c r="C3" s="1" t="s">
        <v>1</v>
      </c>
      <c r="D3" s="6">
        <v>2</v>
      </c>
      <c r="E3" s="7">
        <v>190</v>
      </c>
      <c r="F3" s="8">
        <f>IF(E3&lt;22.5,1,IF(E3&lt;67.5,2,IF(E3&lt;112.5,3,IF(E3&lt;157.5,4,IF(E3&lt;202.5,5,IF(E3&lt;247.5,6,IF(E3&lt;292.5,7,IF(E3&lt;337.5,8,"1"))))))))</f>
        <v>5</v>
      </c>
      <c r="G3" s="3">
        <v>2115</v>
      </c>
      <c r="H3" s="58">
        <v>1976</v>
      </c>
      <c r="I3" s="58">
        <v>187</v>
      </c>
      <c r="J3" s="45">
        <v>125</v>
      </c>
      <c r="K3" s="85">
        <f t="shared" si="0"/>
        <v>38.659808254090095</v>
      </c>
      <c r="L3" s="11">
        <f t="shared" si="1"/>
        <v>2.5992999999999999</v>
      </c>
      <c r="M3" s="10">
        <f t="shared" si="2"/>
        <v>3</v>
      </c>
      <c r="N3" s="4">
        <v>1142</v>
      </c>
      <c r="O3" s="90">
        <f t="shared" si="3"/>
        <v>62.50684181718664</v>
      </c>
      <c r="P3" s="4">
        <v>1</v>
      </c>
      <c r="Q3" s="4">
        <v>1300</v>
      </c>
      <c r="R3" s="4">
        <v>177</v>
      </c>
      <c r="S3" s="19">
        <v>1275</v>
      </c>
      <c r="T3" s="85">
        <f>DEGREES(ATAN((Q3-S3)/R3))</f>
        <v>8.039444550836647</v>
      </c>
      <c r="U3" s="19"/>
      <c r="V3" s="19"/>
      <c r="W3" s="19"/>
      <c r="X3" s="10"/>
      <c r="Y3" s="14">
        <f>S3</f>
        <v>1275</v>
      </c>
      <c r="Z3" s="12">
        <f>R3+V3-U3</f>
        <v>177</v>
      </c>
      <c r="AA3" s="4"/>
      <c r="AB3" s="4"/>
      <c r="AC3" s="86"/>
      <c r="AD3" s="13">
        <v>1827</v>
      </c>
      <c r="AE3" s="3">
        <f>2*(POWER(10,-4))*2</f>
        <v>4.0000000000000002E-4</v>
      </c>
      <c r="AF3" s="12">
        <f>G3-S3</f>
        <v>840</v>
      </c>
      <c r="AG3" s="11">
        <f t="shared" si="4"/>
        <v>24.691558163478064</v>
      </c>
      <c r="AH3" s="50">
        <f t="shared" si="5"/>
        <v>26.286580565322364</v>
      </c>
      <c r="AI3" s="54"/>
      <c r="AJ3" s="4"/>
      <c r="AK3" s="4"/>
      <c r="AL3" s="75"/>
      <c r="AM3" s="75"/>
      <c r="AN3" s="16" t="s">
        <v>2</v>
      </c>
      <c r="AO3" s="4">
        <v>4</v>
      </c>
      <c r="AP3" s="13">
        <v>4</v>
      </c>
      <c r="AQ3" s="71">
        <f t="shared" si="6"/>
        <v>2</v>
      </c>
      <c r="AR3" s="47"/>
      <c r="AS3" s="47"/>
      <c r="AT3" s="18">
        <f t="shared" si="7"/>
        <v>26.286580565322364</v>
      </c>
      <c r="AU3" s="18">
        <f t="shared" si="8"/>
        <v>24.691558163478064</v>
      </c>
      <c r="AV3" s="18">
        <f t="shared" si="9"/>
        <v>1.5950224018443002</v>
      </c>
      <c r="AW3" s="47"/>
      <c r="AX3" s="18">
        <f t="shared" si="10"/>
        <v>24.323667035298218</v>
      </c>
      <c r="AY3" s="18">
        <f t="shared" si="11"/>
        <v>0.36789112817984559</v>
      </c>
      <c r="AZ3" s="47"/>
      <c r="BA3" s="17">
        <f t="shared" si="12"/>
        <v>815</v>
      </c>
      <c r="BB3" s="17">
        <f t="shared" si="13"/>
        <v>1650</v>
      </c>
      <c r="BC3" s="5" t="str">
        <f t="shared" si="14"/>
        <v>35-40</v>
      </c>
      <c r="BD3" s="5" t="str">
        <f t="shared" si="15"/>
        <v>4EXP-4-6EXP-4</v>
      </c>
      <c r="BE3" s="5" t="str">
        <f t="shared" si="16"/>
        <v>600-900</v>
      </c>
      <c r="BF3" s="5" t="str">
        <f t="shared" si="17"/>
        <v>1500-2000</v>
      </c>
      <c r="BG3" s="5" t="str">
        <f t="shared" si="18"/>
        <v>SE</v>
      </c>
      <c r="BH3" s="5" t="str">
        <f t="shared" si="19"/>
        <v>60-80</v>
      </c>
      <c r="BI3" s="5" t="str">
        <f t="shared" si="20"/>
        <v>38-40</v>
      </c>
      <c r="BJ3" s="47"/>
      <c r="BK3" s="5">
        <f t="shared" si="21"/>
        <v>1</v>
      </c>
      <c r="BL3" s="5">
        <f t="shared" si="22"/>
        <v>0</v>
      </c>
      <c r="BM3" s="5">
        <f t="shared" si="23"/>
        <v>1</v>
      </c>
      <c r="BN3" s="5">
        <f t="shared" si="24"/>
        <v>1</v>
      </c>
      <c r="BO3" s="5">
        <f t="shared" si="25"/>
        <v>0</v>
      </c>
      <c r="BP3" s="5">
        <f t="shared" si="26"/>
        <v>0</v>
      </c>
      <c r="BQ3" s="5">
        <f t="shared" si="27"/>
        <v>0</v>
      </c>
      <c r="BR3" s="5">
        <f t="shared" si="28"/>
        <v>0</v>
      </c>
      <c r="BS3" s="5">
        <f t="shared" si="29"/>
        <v>1</v>
      </c>
      <c r="BT3" s="47"/>
      <c r="BU3" s="18">
        <f t="shared" si="30"/>
        <v>24.915271459869263</v>
      </c>
      <c r="BV3" s="18">
        <f t="shared" si="31"/>
        <v>-0.22371329639119963</v>
      </c>
      <c r="BW3" s="18">
        <f t="shared" si="32"/>
        <v>-1.8537132963911995</v>
      </c>
      <c r="BX3" s="18">
        <f t="shared" si="33"/>
        <v>1.4062867036088003</v>
      </c>
      <c r="BY3" s="5" t="str">
        <f t="shared" si="34"/>
        <v/>
      </c>
      <c r="BZ3" s="47"/>
      <c r="CA3" s="47"/>
      <c r="CB3" s="18">
        <f>IF($BG3=CB$1,$AI3," ")</f>
        <v>0</v>
      </c>
      <c r="CC3" s="18" t="str">
        <f>IF($BG3=CC$1,$AI3," ")</f>
        <v xml:space="preserve"> </v>
      </c>
    </row>
    <row r="4" spans="1:81" s="5" customFormat="1" ht="9" customHeight="1" x14ac:dyDescent="0.15">
      <c r="A4" s="1" t="s">
        <v>3</v>
      </c>
      <c r="B4" s="2" t="s">
        <v>4</v>
      </c>
      <c r="C4" s="1" t="s">
        <v>5</v>
      </c>
      <c r="D4" s="6">
        <v>2</v>
      </c>
      <c r="E4" s="3">
        <v>175</v>
      </c>
      <c r="F4" s="8">
        <f>IF(E4&lt;22.5,1,IF(E4&lt;67.5,2,IF(E4&lt;112.5,3,IF(E4&lt;157.5,4,IF(E4&lt;202.5,5,IF(E4&lt;247.5,6,IF(E4&lt;292.5,7,IF(E4&lt;337.5,8,"1"))))))))</f>
        <v>5</v>
      </c>
      <c r="G4" s="3">
        <v>2150</v>
      </c>
      <c r="H4" s="7">
        <v>1950</v>
      </c>
      <c r="I4" s="7">
        <v>232</v>
      </c>
      <c r="J4" s="3">
        <v>162</v>
      </c>
      <c r="K4" s="85">
        <f t="shared" si="0"/>
        <v>31.686367687856603</v>
      </c>
      <c r="L4" s="11">
        <f t="shared" si="1"/>
        <v>4.6399999999999997</v>
      </c>
      <c r="M4" s="10">
        <f t="shared" si="2"/>
        <v>3</v>
      </c>
      <c r="N4" s="4">
        <v>0</v>
      </c>
      <c r="O4" s="90">
        <f t="shared" si="3"/>
        <v>0</v>
      </c>
      <c r="P4" s="4">
        <v>1</v>
      </c>
      <c r="Q4" s="4">
        <v>1440</v>
      </c>
      <c r="R4" s="4">
        <v>95</v>
      </c>
      <c r="S4" s="4">
        <v>1425</v>
      </c>
      <c r="T4" s="85">
        <f>DEGREES(ATAN((Q4-S4)/R4))</f>
        <v>8.9726266148963933</v>
      </c>
      <c r="U4" s="4"/>
      <c r="V4" s="4"/>
      <c r="W4" s="4"/>
      <c r="X4" s="10"/>
      <c r="Y4" s="14">
        <v>1425</v>
      </c>
      <c r="Z4" s="12">
        <v>113</v>
      </c>
      <c r="AA4" s="4"/>
      <c r="AB4" s="4"/>
      <c r="AC4" s="86">
        <v>12.475109712208958</v>
      </c>
      <c r="AD4" s="13">
        <v>1211</v>
      </c>
      <c r="AE4" s="64">
        <f>0.0001*2</f>
        <v>2.0000000000000001E-4</v>
      </c>
      <c r="AF4" s="12">
        <v>725</v>
      </c>
      <c r="AG4" s="11">
        <f t="shared" si="4"/>
        <v>30.908061988727649</v>
      </c>
      <c r="AH4" s="11">
        <f t="shared" si="5"/>
        <v>32.887930405154577</v>
      </c>
      <c r="AI4" s="15"/>
      <c r="AJ4" s="4"/>
      <c r="AK4" s="4"/>
      <c r="AL4" s="75"/>
      <c r="AM4" s="75"/>
      <c r="AN4" s="16" t="s">
        <v>6</v>
      </c>
      <c r="AO4" s="4">
        <v>4</v>
      </c>
      <c r="AP4" s="13">
        <v>2</v>
      </c>
      <c r="AQ4" s="71">
        <f t="shared" si="6"/>
        <v>1</v>
      </c>
      <c r="AT4" s="18">
        <f t="shared" si="7"/>
        <v>32.887930405154577</v>
      </c>
      <c r="AU4" s="18">
        <f t="shared" si="8"/>
        <v>30.908061988727649</v>
      </c>
      <c r="AV4" s="18">
        <f t="shared" si="9"/>
        <v>1.9798684164269282</v>
      </c>
      <c r="AX4" s="18">
        <f t="shared" si="10"/>
        <v>30.022706411969025</v>
      </c>
      <c r="AY4" s="18">
        <f t="shared" si="11"/>
        <v>0.88535557675862364</v>
      </c>
      <c r="BA4" s="17">
        <f t="shared" si="12"/>
        <v>710</v>
      </c>
      <c r="BB4" s="17">
        <f t="shared" si="13"/>
        <v>1098</v>
      </c>
      <c r="BC4" s="5" t="str">
        <f t="shared" si="14"/>
        <v>30-35</v>
      </c>
      <c r="BD4" s="5" t="str">
        <f t="shared" si="15"/>
        <v>2EXP-4-4EXP-4</v>
      </c>
      <c r="BE4" s="5" t="str">
        <f t="shared" si="16"/>
        <v>600-900</v>
      </c>
      <c r="BF4" s="5" t="str">
        <f t="shared" si="17"/>
        <v>1000-1500</v>
      </c>
      <c r="BG4" s="5" t="str">
        <f t="shared" si="18"/>
        <v>SE</v>
      </c>
      <c r="BH4" s="5" t="str">
        <f t="shared" si="19"/>
        <v>0-20</v>
      </c>
      <c r="BI4" s="5" t="str">
        <f t="shared" si="20"/>
        <v>30-32</v>
      </c>
      <c r="BK4" s="5">
        <f t="shared" si="21"/>
        <v>1</v>
      </c>
      <c r="BL4" s="5">
        <f t="shared" si="22"/>
        <v>0</v>
      </c>
      <c r="BM4" s="5">
        <f t="shared" si="23"/>
        <v>1</v>
      </c>
      <c r="BN4" s="5">
        <f t="shared" si="24"/>
        <v>1</v>
      </c>
      <c r="BO4" s="5">
        <f t="shared" si="25"/>
        <v>0</v>
      </c>
      <c r="BP4" s="5">
        <f t="shared" si="26"/>
        <v>0</v>
      </c>
      <c r="BQ4" s="5">
        <f t="shared" si="27"/>
        <v>0</v>
      </c>
      <c r="BR4" s="5">
        <f t="shared" si="28"/>
        <v>1</v>
      </c>
      <c r="BS4" s="5">
        <f t="shared" si="29"/>
        <v>0</v>
      </c>
      <c r="BU4" s="18">
        <f t="shared" si="30"/>
        <v>29.600381275960146</v>
      </c>
      <c r="BV4" s="18">
        <f t="shared" si="31"/>
        <v>1.3076807127675032</v>
      </c>
      <c r="BW4" s="18">
        <f t="shared" si="32"/>
        <v>-0.3223192872324967</v>
      </c>
      <c r="BX4" s="18">
        <f t="shared" si="33"/>
        <v>2.9376807127675031</v>
      </c>
      <c r="BY4" s="5" t="str">
        <f t="shared" si="34"/>
        <v/>
      </c>
      <c r="CB4" s="18"/>
      <c r="CC4" s="18" t="str">
        <f>IF($BG4=CC$1,$AI4," ")</f>
        <v xml:space="preserve"> </v>
      </c>
    </row>
    <row r="5" spans="1:81" s="5" customFormat="1" ht="9" customHeight="1" x14ac:dyDescent="0.15">
      <c r="A5" s="1" t="s">
        <v>296</v>
      </c>
      <c r="B5" s="2" t="s">
        <v>7</v>
      </c>
      <c r="C5" s="1" t="s">
        <v>8</v>
      </c>
      <c r="D5" s="6">
        <v>5</v>
      </c>
      <c r="E5" s="7">
        <v>270</v>
      </c>
      <c r="F5" s="8">
        <f>IF(E5&lt;22.5,1,IF(E5&lt;67.5,2,IF(E5&lt;112.5,3,IF(E5&lt;157.5,4,IF(E5&lt;202.5,5,IF(E5&lt;247.5,6,IF(E5&lt;292.5,7,IF(E5&lt;337.5,8,"1"))))))))</f>
        <v>7</v>
      </c>
      <c r="G5" s="3">
        <v>2450</v>
      </c>
      <c r="H5" s="7">
        <v>2300</v>
      </c>
      <c r="I5" s="7">
        <v>195</v>
      </c>
      <c r="J5" s="3">
        <v>154</v>
      </c>
      <c r="K5" s="85">
        <f t="shared" si="0"/>
        <v>32.99770510121629</v>
      </c>
      <c r="L5" s="11">
        <f t="shared" si="1"/>
        <v>2.9249999999999998</v>
      </c>
      <c r="M5" s="10">
        <f t="shared" si="2"/>
        <v>3</v>
      </c>
      <c r="N5" s="4">
        <v>462</v>
      </c>
      <c r="O5" s="90">
        <f t="shared" si="3"/>
        <v>44.29530201342282</v>
      </c>
      <c r="P5" s="4">
        <v>1</v>
      </c>
      <c r="Q5" s="4">
        <v>1980</v>
      </c>
      <c r="R5" s="4">
        <v>47</v>
      </c>
      <c r="S5" s="4">
        <v>1972</v>
      </c>
      <c r="T5" s="85">
        <f>DEGREES(ATAN((Q5-S5)/R5))</f>
        <v>9.6598930784423338</v>
      </c>
      <c r="U5" s="4"/>
      <c r="V5" s="4"/>
      <c r="W5" s="4"/>
      <c r="X5" s="10"/>
      <c r="Y5" s="14">
        <v>1978</v>
      </c>
      <c r="Z5" s="12">
        <v>13</v>
      </c>
      <c r="AA5" s="4"/>
      <c r="AB5" s="4"/>
      <c r="AC5" s="86">
        <v>8.7461622625552096</v>
      </c>
      <c r="AD5" s="13">
        <v>1043</v>
      </c>
      <c r="AE5" s="64">
        <f>0.0002*2</f>
        <v>4.0000000000000002E-4</v>
      </c>
      <c r="AF5" s="12">
        <v>472</v>
      </c>
      <c r="AG5" s="11">
        <f t="shared" si="4"/>
        <v>24.348689710335581</v>
      </c>
      <c r="AH5" s="11">
        <f t="shared" si="5"/>
        <v>24.527720480258079</v>
      </c>
      <c r="AI5" s="15"/>
      <c r="AJ5" s="4"/>
      <c r="AK5" s="4"/>
      <c r="AL5" s="75"/>
      <c r="AM5" s="75"/>
      <c r="AN5" s="16"/>
      <c r="AO5" s="4">
        <v>4</v>
      </c>
      <c r="AP5" s="13">
        <v>5</v>
      </c>
      <c r="AQ5" s="71">
        <f t="shared" si="6"/>
        <v>2</v>
      </c>
      <c r="AT5" s="18">
        <f t="shared" si="7"/>
        <v>24.527720480258079</v>
      </c>
      <c r="AU5" s="18">
        <f t="shared" si="8"/>
        <v>24.348689710335581</v>
      </c>
      <c r="AV5" s="18">
        <f t="shared" si="9"/>
        <v>0.17903076992249822</v>
      </c>
      <c r="AX5" s="18">
        <f t="shared" si="10"/>
        <v>23.753344769798723</v>
      </c>
      <c r="AY5" s="18">
        <f t="shared" si="11"/>
        <v>0.59534494053685805</v>
      </c>
      <c r="BA5" s="17">
        <f t="shared" si="12"/>
        <v>470</v>
      </c>
      <c r="BB5" s="17">
        <f t="shared" si="13"/>
        <v>1030</v>
      </c>
      <c r="BC5" s="5" t="str">
        <f t="shared" si="14"/>
        <v>30-35</v>
      </c>
      <c r="BD5" s="5" t="str">
        <f t="shared" si="15"/>
        <v>4EXP-4-6EXP-4</v>
      </c>
      <c r="BE5" s="5" t="str">
        <f t="shared" si="16"/>
        <v>300-600</v>
      </c>
      <c r="BF5" s="5" t="str">
        <f t="shared" si="17"/>
        <v>1000-1500</v>
      </c>
      <c r="BG5" s="5" t="str">
        <f t="shared" si="18"/>
        <v>NW</v>
      </c>
      <c r="BH5" s="5" t="str">
        <f t="shared" si="19"/>
        <v>40-60</v>
      </c>
      <c r="BI5" s="5" t="str">
        <f t="shared" si="20"/>
        <v>30-32</v>
      </c>
      <c r="BK5" s="5">
        <f t="shared" si="21"/>
        <v>1</v>
      </c>
      <c r="BL5" s="5">
        <f t="shared" si="22"/>
        <v>0</v>
      </c>
      <c r="BM5" s="5">
        <f t="shared" si="23"/>
        <v>0</v>
      </c>
      <c r="BN5" s="5">
        <f t="shared" si="24"/>
        <v>1</v>
      </c>
      <c r="BO5" s="5">
        <f t="shared" si="25"/>
        <v>0</v>
      </c>
      <c r="BP5" s="5">
        <f t="shared" si="26"/>
        <v>0</v>
      </c>
      <c r="BQ5" s="5">
        <f t="shared" si="27"/>
        <v>1</v>
      </c>
      <c r="BR5" s="5">
        <f t="shared" si="28"/>
        <v>1</v>
      </c>
      <c r="BS5" s="5">
        <f t="shared" si="29"/>
        <v>1</v>
      </c>
      <c r="BU5" s="18">
        <f t="shared" si="30"/>
        <v>22.537817272206059</v>
      </c>
      <c r="BV5" s="18">
        <f t="shared" si="31"/>
        <v>1.8108724381295218</v>
      </c>
      <c r="BW5" s="18">
        <f t="shared" si="32"/>
        <v>0.18087243812952192</v>
      </c>
      <c r="BX5" s="18">
        <f t="shared" si="33"/>
        <v>3.4408724381295217</v>
      </c>
      <c r="BY5" s="5">
        <f t="shared" si="34"/>
        <v>1</v>
      </c>
      <c r="CB5" s="18" t="str">
        <f>IF($BG5=CB$1,$AI5," ")</f>
        <v xml:space="preserve"> </v>
      </c>
      <c r="CC5" s="18"/>
    </row>
    <row r="6" spans="1:81" s="5" customFormat="1" ht="9" customHeight="1" x14ac:dyDescent="0.15">
      <c r="A6" s="1" t="s">
        <v>9</v>
      </c>
      <c r="B6" s="2" t="s">
        <v>10</v>
      </c>
      <c r="C6" s="1" t="s">
        <v>11</v>
      </c>
      <c r="D6" s="6">
        <v>5</v>
      </c>
      <c r="E6" s="7">
        <v>50</v>
      </c>
      <c r="F6" s="8">
        <f>IF(E6&lt;22.5,1,IF(E6&lt;67.5,2,IF(E6&lt;112.5,3,IF(E6&lt;157.5,4,IF(E6&lt;202.5,5,IF(E6&lt;247.5,6,IF(E6&lt;292.5,7,IF(E6&lt;337.5,8,"1"))))))))</f>
        <v>2</v>
      </c>
      <c r="G6" s="3">
        <v>2540</v>
      </c>
      <c r="H6" s="7">
        <v>2425</v>
      </c>
      <c r="I6" s="3">
        <v>295</v>
      </c>
      <c r="J6" s="3">
        <v>183</v>
      </c>
      <c r="K6" s="85">
        <f t="shared" si="0"/>
        <v>28.654314061927188</v>
      </c>
      <c r="L6" s="11">
        <f t="shared" si="1"/>
        <v>3.3925000000000001</v>
      </c>
      <c r="M6" s="10">
        <f t="shared" si="2"/>
        <v>3</v>
      </c>
      <c r="N6" s="4">
        <v>0</v>
      </c>
      <c r="O6" s="90">
        <f t="shared" si="3"/>
        <v>0</v>
      </c>
      <c r="P6" s="4">
        <v>1</v>
      </c>
      <c r="Q6" s="4">
        <v>2080</v>
      </c>
      <c r="R6" s="4">
        <v>137</v>
      </c>
      <c r="S6" s="4">
        <v>2040</v>
      </c>
      <c r="T6" s="85">
        <f>DEGREES(ATAN((Q6-S6)/R6))</f>
        <v>16.276262942059958</v>
      </c>
      <c r="U6" s="4"/>
      <c r="V6" s="4"/>
      <c r="W6" s="4"/>
      <c r="X6" s="10"/>
      <c r="Y6" s="14">
        <v>2040</v>
      </c>
      <c r="Z6" s="12">
        <v>137</v>
      </c>
      <c r="AA6" s="4"/>
      <c r="AB6" s="4"/>
      <c r="AC6" s="86">
        <v>16.276262942059958</v>
      </c>
      <c r="AD6" s="13">
        <v>1202</v>
      </c>
      <c r="AE6" s="64">
        <f>0.0002*2</f>
        <v>4.0000000000000002E-4</v>
      </c>
      <c r="AF6" s="12">
        <v>500</v>
      </c>
      <c r="AG6" s="11">
        <f t="shared" si="4"/>
        <v>22.586010201618134</v>
      </c>
      <c r="AH6" s="11">
        <f t="shared" si="5"/>
        <v>23.360717357429767</v>
      </c>
      <c r="AI6" s="15">
        <v>4.59</v>
      </c>
      <c r="AJ6" s="4">
        <v>499</v>
      </c>
      <c r="AK6" s="4">
        <v>699</v>
      </c>
      <c r="AL6" s="75">
        <f>(AJ6/AD6)*100</f>
        <v>41.514143094841934</v>
      </c>
      <c r="AM6" s="75">
        <f>(AK6/AD6)*100</f>
        <v>58.153078202995012</v>
      </c>
      <c r="AN6" s="16"/>
      <c r="AO6" s="4">
        <v>4</v>
      </c>
      <c r="AP6" s="13">
        <v>4</v>
      </c>
      <c r="AQ6" s="71">
        <f t="shared" si="6"/>
        <v>2</v>
      </c>
      <c r="AT6" s="18">
        <f t="shared" si="7"/>
        <v>23.360717357429767</v>
      </c>
      <c r="AU6" s="18">
        <f t="shared" si="8"/>
        <v>22.586010201618134</v>
      </c>
      <c r="AV6" s="18">
        <f t="shared" si="9"/>
        <v>0.77470715581163319</v>
      </c>
      <c r="AX6" s="18">
        <f t="shared" si="10"/>
        <v>22.695752365220923</v>
      </c>
      <c r="AY6" s="18">
        <f t="shared" si="11"/>
        <v>-0.10974216360278888</v>
      </c>
      <c r="BA6" s="17">
        <f t="shared" si="12"/>
        <v>460</v>
      </c>
      <c r="BB6" s="17">
        <f t="shared" si="13"/>
        <v>1065</v>
      </c>
      <c r="BC6" s="5" t="str">
        <f t="shared" si="14"/>
        <v>25-30</v>
      </c>
      <c r="BD6" s="5" t="str">
        <f t="shared" si="15"/>
        <v>4EXP-4-6EXP-4</v>
      </c>
      <c r="BE6" s="5" t="str">
        <f t="shared" si="16"/>
        <v>300-600</v>
      </c>
      <c r="BF6" s="5" t="str">
        <f t="shared" si="17"/>
        <v>1000-1500</v>
      </c>
      <c r="BG6" s="5" t="str">
        <f t="shared" si="18"/>
        <v>SE</v>
      </c>
      <c r="BH6" s="5" t="str">
        <f t="shared" si="19"/>
        <v>0-20</v>
      </c>
      <c r="BI6" s="5" t="str">
        <f t="shared" si="20"/>
        <v>25-30</v>
      </c>
      <c r="BK6" s="5">
        <f t="shared" si="21"/>
        <v>0</v>
      </c>
      <c r="BL6" s="5">
        <f t="shared" si="22"/>
        <v>0</v>
      </c>
      <c r="BM6" s="5">
        <f t="shared" si="23"/>
        <v>0</v>
      </c>
      <c r="BN6" s="5">
        <f t="shared" si="24"/>
        <v>1</v>
      </c>
      <c r="BO6" s="5">
        <f t="shared" si="25"/>
        <v>0</v>
      </c>
      <c r="BP6" s="5">
        <f t="shared" si="26"/>
        <v>0</v>
      </c>
      <c r="BQ6" s="5">
        <f t="shared" si="27"/>
        <v>0</v>
      </c>
      <c r="BR6" s="5">
        <f t="shared" si="28"/>
        <v>1</v>
      </c>
      <c r="BS6" s="5">
        <f t="shared" si="29"/>
        <v>1</v>
      </c>
      <c r="BU6" s="18">
        <f t="shared" si="30"/>
        <v>21.313790102447058</v>
      </c>
      <c r="BV6" s="18">
        <f t="shared" si="31"/>
        <v>1.2722200991710757</v>
      </c>
      <c r="BW6" s="18">
        <f t="shared" si="32"/>
        <v>-0.35777990082892419</v>
      </c>
      <c r="BX6" s="18">
        <f t="shared" si="33"/>
        <v>2.9022200991710756</v>
      </c>
      <c r="BY6" s="5" t="str">
        <f t="shared" si="34"/>
        <v/>
      </c>
      <c r="CB6" s="18">
        <f>IF($BG6=CB$1,$AI6," ")</f>
        <v>4.59</v>
      </c>
      <c r="CC6" s="18" t="str">
        <f t="shared" ref="CC6:CC12" si="35">IF($BG6=CC$1,$AI6," ")</f>
        <v xml:space="preserve"> </v>
      </c>
    </row>
    <row r="7" spans="1:81" s="5" customFormat="1" ht="9" customHeight="1" x14ac:dyDescent="0.15">
      <c r="A7" s="20" t="s">
        <v>12</v>
      </c>
      <c r="B7" s="2" t="s">
        <v>13</v>
      </c>
      <c r="C7" s="20" t="s">
        <v>11</v>
      </c>
      <c r="D7" s="6">
        <v>5</v>
      </c>
      <c r="E7" s="7">
        <v>344</v>
      </c>
      <c r="F7" s="8">
        <v>1</v>
      </c>
      <c r="G7" s="5">
        <v>2440</v>
      </c>
      <c r="H7" s="9">
        <v>2325</v>
      </c>
      <c r="I7" s="5">
        <v>94</v>
      </c>
      <c r="J7" s="3">
        <v>180</v>
      </c>
      <c r="K7" s="85">
        <f t="shared" si="0"/>
        <v>29.054604099077146</v>
      </c>
      <c r="L7" s="11">
        <f t="shared" si="1"/>
        <v>1.081</v>
      </c>
      <c r="M7" s="10">
        <f t="shared" si="2"/>
        <v>2</v>
      </c>
      <c r="N7" s="4">
        <v>0</v>
      </c>
      <c r="O7" s="90">
        <f t="shared" si="3"/>
        <v>0</v>
      </c>
      <c r="P7" s="4">
        <v>1</v>
      </c>
      <c r="Q7" s="4">
        <v>2060</v>
      </c>
      <c r="R7" s="17">
        <v>126</v>
      </c>
      <c r="S7" s="17">
        <v>2037</v>
      </c>
      <c r="T7" s="85">
        <f>DEGREES(ATAN((Q7-S7)/R7))</f>
        <v>10.344857481475202</v>
      </c>
      <c r="U7" s="17"/>
      <c r="V7" s="17"/>
      <c r="W7" s="17"/>
      <c r="X7" s="10"/>
      <c r="Y7" s="14">
        <v>2037</v>
      </c>
      <c r="Z7" s="12">
        <v>126</v>
      </c>
      <c r="AA7" s="4"/>
      <c r="AB7" s="4"/>
      <c r="AC7" s="86">
        <v>10.344857481475202</v>
      </c>
      <c r="AD7" s="13">
        <v>989</v>
      </c>
      <c r="AE7" s="64">
        <f>0.0002*2</f>
        <v>4.0000000000000002E-4</v>
      </c>
      <c r="AF7" s="12">
        <v>403</v>
      </c>
      <c r="AG7" s="11">
        <f t="shared" si="4"/>
        <v>22.17002617790429</v>
      </c>
      <c r="AH7" s="11">
        <f t="shared" si="5"/>
        <v>23.765067020403777</v>
      </c>
      <c r="AI7" s="15">
        <v>5.9661999999999997</v>
      </c>
      <c r="AJ7" s="4">
        <v>530</v>
      </c>
      <c r="AK7" s="4">
        <v>259</v>
      </c>
      <c r="AL7" s="75">
        <f>(AJ7/AD7)*100</f>
        <v>53.589484327603643</v>
      </c>
      <c r="AM7" s="75">
        <f>(AK7/AD7)*100</f>
        <v>26.188068756319517</v>
      </c>
      <c r="AN7" s="18"/>
      <c r="AO7" s="4">
        <v>4</v>
      </c>
      <c r="AP7" s="13">
        <v>4</v>
      </c>
      <c r="AQ7" s="71">
        <f t="shared" si="6"/>
        <v>2</v>
      </c>
      <c r="AT7" s="18">
        <f t="shared" si="7"/>
        <v>23.765067020403777</v>
      </c>
      <c r="AU7" s="18">
        <f t="shared" si="8"/>
        <v>22.17002617790429</v>
      </c>
      <c r="AV7" s="18">
        <f t="shared" si="9"/>
        <v>1.5950408424994862</v>
      </c>
      <c r="AX7" s="18">
        <f t="shared" si="10"/>
        <v>23.870101605710907</v>
      </c>
      <c r="AY7" s="18">
        <f t="shared" si="11"/>
        <v>-1.7000754278066168</v>
      </c>
      <c r="BA7" s="17">
        <f t="shared" si="12"/>
        <v>380</v>
      </c>
      <c r="BB7" s="17">
        <f t="shared" si="13"/>
        <v>863</v>
      </c>
      <c r="BC7" s="5" t="str">
        <f t="shared" si="14"/>
        <v>25-30</v>
      </c>
      <c r="BD7" s="5" t="str">
        <f t="shared" si="15"/>
        <v>4EXP-4-6EXP-4</v>
      </c>
      <c r="BE7" s="5" t="str">
        <f t="shared" si="16"/>
        <v>300-600</v>
      </c>
      <c r="BF7" s="5" t="str">
        <f t="shared" si="17"/>
        <v>500-1000</v>
      </c>
      <c r="BG7" s="5" t="str">
        <f t="shared" si="18"/>
        <v>NW</v>
      </c>
      <c r="BH7" s="5" t="str">
        <f t="shared" si="19"/>
        <v>0-20</v>
      </c>
      <c r="BI7" s="5" t="str">
        <f t="shared" si="20"/>
        <v>25-30</v>
      </c>
      <c r="BK7" s="5">
        <f t="shared" si="21"/>
        <v>0</v>
      </c>
      <c r="BL7" s="5">
        <f t="shared" si="22"/>
        <v>0</v>
      </c>
      <c r="BM7" s="5">
        <f t="shared" si="23"/>
        <v>0</v>
      </c>
      <c r="BN7" s="5">
        <f t="shared" si="24"/>
        <v>1</v>
      </c>
      <c r="BO7" s="5">
        <f t="shared" si="25"/>
        <v>0</v>
      </c>
      <c r="BP7" s="5">
        <f t="shared" si="26"/>
        <v>1</v>
      </c>
      <c r="BQ7" s="5">
        <f t="shared" si="27"/>
        <v>1</v>
      </c>
      <c r="BR7" s="5">
        <f t="shared" si="28"/>
        <v>1</v>
      </c>
      <c r="BS7" s="5">
        <f t="shared" si="29"/>
        <v>1</v>
      </c>
      <c r="BU7" s="18">
        <f t="shared" si="30"/>
        <v>22.99969977869219</v>
      </c>
      <c r="BV7" s="18">
        <f t="shared" si="31"/>
        <v>-0.82967360078789909</v>
      </c>
      <c r="BW7" s="18">
        <f t="shared" si="32"/>
        <v>-2.459673600787899</v>
      </c>
      <c r="BX7" s="18">
        <f t="shared" si="33"/>
        <v>0.8003263992121008</v>
      </c>
      <c r="BY7" s="5" t="str">
        <f t="shared" si="34"/>
        <v/>
      </c>
      <c r="CB7" s="18" t="str">
        <f>IF($BG7=CB$1,$AI7," ")</f>
        <v xml:space="preserve"> </v>
      </c>
      <c r="CC7" s="18">
        <f t="shared" si="35"/>
        <v>5.9661999999999997</v>
      </c>
    </row>
    <row r="8" spans="1:81" s="5" customFormat="1" ht="9" customHeight="1" x14ac:dyDescent="0.15">
      <c r="A8" s="1" t="s">
        <v>14</v>
      </c>
      <c r="B8" s="2" t="s">
        <v>15</v>
      </c>
      <c r="C8" s="1" t="s">
        <v>16</v>
      </c>
      <c r="D8" s="6">
        <v>5</v>
      </c>
      <c r="E8" s="7">
        <v>54</v>
      </c>
      <c r="F8" s="8">
        <f>IF(E8&lt;22.5,1,IF(E8&lt;67.5,2,IF(E8&lt;112.5,3,IF(E8&lt;157.5,4,IF(E8&lt;202.5,5,IF(E8&lt;247.5,6,IF(E8&lt;292.5,7,IF(E8&lt;337.5,8,"1"))))))))</f>
        <v>2</v>
      </c>
      <c r="G8" s="3">
        <v>2525</v>
      </c>
      <c r="H8" s="7">
        <v>2375</v>
      </c>
      <c r="I8" s="3">
        <v>123</v>
      </c>
      <c r="J8" s="3">
        <v>158</v>
      </c>
      <c r="K8" s="85">
        <f t="shared" si="0"/>
        <v>32.33018573505035</v>
      </c>
      <c r="L8" s="11">
        <f t="shared" si="1"/>
        <v>1.845</v>
      </c>
      <c r="M8" s="10">
        <f t="shared" si="2"/>
        <v>2</v>
      </c>
      <c r="N8" s="4">
        <v>355</v>
      </c>
      <c r="O8" s="90">
        <f t="shared" si="3"/>
        <v>36.004056795131845</v>
      </c>
      <c r="P8" s="4">
        <v>1</v>
      </c>
      <c r="Q8" s="4">
        <v>1785</v>
      </c>
      <c r="R8" s="4"/>
      <c r="S8" s="4">
        <v>2090</v>
      </c>
      <c r="T8" s="85"/>
      <c r="U8" s="4">
        <v>1053</v>
      </c>
      <c r="V8" s="4"/>
      <c r="W8" s="4"/>
      <c r="X8" s="10"/>
      <c r="Y8" s="14">
        <v>2090</v>
      </c>
      <c r="Z8" s="12">
        <v>-1053</v>
      </c>
      <c r="AA8" s="4">
        <v>191</v>
      </c>
      <c r="AB8" s="4">
        <v>58</v>
      </c>
      <c r="AC8" s="86">
        <v>16.891695744674493</v>
      </c>
      <c r="AD8" s="13">
        <v>986</v>
      </c>
      <c r="AE8" s="64">
        <f xml:space="preserve"> 0.00006*2</f>
        <v>1.2E-4</v>
      </c>
      <c r="AF8" s="12">
        <v>435</v>
      </c>
      <c r="AG8" s="11">
        <f t="shared" si="4"/>
        <v>23.805943518457717</v>
      </c>
      <c r="AH8" s="11">
        <f t="shared" si="5"/>
        <v>19.946999059973518</v>
      </c>
      <c r="AI8" s="15">
        <v>0.33119999999999999</v>
      </c>
      <c r="AJ8" s="4">
        <v>76</v>
      </c>
      <c r="AK8" s="4">
        <v>705</v>
      </c>
      <c r="AL8" s="75">
        <f>(AJ8/AD8)*100</f>
        <v>7.7079107505070992</v>
      </c>
      <c r="AM8" s="75">
        <f>(AK8/AD8)*100</f>
        <v>71.501014198782968</v>
      </c>
      <c r="AN8" s="16"/>
      <c r="AO8" s="4">
        <v>4</v>
      </c>
      <c r="AP8" s="13">
        <v>4</v>
      </c>
      <c r="AQ8" s="71">
        <f t="shared" si="6"/>
        <v>2</v>
      </c>
      <c r="AT8" s="18">
        <f t="shared" si="7"/>
        <v>19.946999059973518</v>
      </c>
      <c r="AU8" s="18">
        <f t="shared" si="8"/>
        <v>23.805943518457717</v>
      </c>
      <c r="AV8" s="18">
        <f t="shared" si="9"/>
        <v>-3.8589444584841992</v>
      </c>
      <c r="AX8" s="18">
        <f t="shared" si="10"/>
        <v>20.933189276179608</v>
      </c>
      <c r="AY8" s="18">
        <f t="shared" si="11"/>
        <v>2.8727542422781092</v>
      </c>
      <c r="BA8" s="17">
        <f t="shared" si="12"/>
        <v>740</v>
      </c>
      <c r="BB8" s="17">
        <f t="shared" si="13"/>
        <v>2039</v>
      </c>
      <c r="BC8" s="5" t="str">
        <f t="shared" si="14"/>
        <v>30-35</v>
      </c>
      <c r="BD8" s="5" t="str">
        <f t="shared" si="15"/>
        <v>&lt;2EXP-4</v>
      </c>
      <c r="BE8" s="5" t="str">
        <f t="shared" si="16"/>
        <v>600-900</v>
      </c>
      <c r="BF8" s="5" t="str">
        <f t="shared" si="17"/>
        <v>1000-1500</v>
      </c>
      <c r="BG8" s="5" t="str">
        <f t="shared" si="18"/>
        <v>SE</v>
      </c>
      <c r="BH8" s="5" t="str">
        <f t="shared" si="19"/>
        <v>20-40</v>
      </c>
      <c r="BI8" s="5" t="str">
        <f t="shared" si="20"/>
        <v>30-32</v>
      </c>
      <c r="BK8" s="5">
        <f t="shared" si="21"/>
        <v>1</v>
      </c>
      <c r="BL8" s="5">
        <f t="shared" si="22"/>
        <v>0</v>
      </c>
      <c r="BM8" s="5">
        <f t="shared" si="23"/>
        <v>1</v>
      </c>
      <c r="BN8" s="5">
        <f t="shared" si="24"/>
        <v>1</v>
      </c>
      <c r="BO8" s="5">
        <f t="shared" si="25"/>
        <v>0</v>
      </c>
      <c r="BP8" s="5">
        <f t="shared" si="26"/>
        <v>1</v>
      </c>
      <c r="BQ8" s="5">
        <f t="shared" si="27"/>
        <v>0</v>
      </c>
      <c r="BR8" s="5">
        <f t="shared" si="28"/>
        <v>1</v>
      </c>
      <c r="BS8" s="5">
        <f t="shared" si="29"/>
        <v>1</v>
      </c>
      <c r="BU8" s="18">
        <f t="shared" si="30"/>
        <v>19.990784184788385</v>
      </c>
      <c r="BV8" s="18">
        <f t="shared" si="31"/>
        <v>3.8151593336693317</v>
      </c>
      <c r="BW8" s="18">
        <f t="shared" si="32"/>
        <v>2.1851593336693318</v>
      </c>
      <c r="BX8" s="18">
        <f t="shared" si="33"/>
        <v>5.4451593336693316</v>
      </c>
      <c r="BY8" s="5">
        <f t="shared" si="34"/>
        <v>1</v>
      </c>
      <c r="CB8" s="18">
        <f>IF($BG8=CB$1,$AI8," ")</f>
        <v>0.33119999999999999</v>
      </c>
      <c r="CC8" s="18" t="str">
        <f t="shared" si="35"/>
        <v xml:space="preserve"> </v>
      </c>
    </row>
    <row r="9" spans="1:81" s="5" customFormat="1" ht="9" customHeight="1" x14ac:dyDescent="0.15">
      <c r="A9" s="1" t="s">
        <v>214</v>
      </c>
      <c r="B9" s="2" t="s">
        <v>215</v>
      </c>
      <c r="C9" s="1" t="s">
        <v>216</v>
      </c>
      <c r="D9" s="6">
        <v>1</v>
      </c>
      <c r="E9" s="7">
        <v>360</v>
      </c>
      <c r="F9" s="8">
        <v>1</v>
      </c>
      <c r="G9" s="3">
        <v>2775</v>
      </c>
      <c r="H9" s="7">
        <v>2650</v>
      </c>
      <c r="I9" s="7">
        <v>65</v>
      </c>
      <c r="J9" s="3">
        <v>121</v>
      </c>
      <c r="K9" s="85">
        <f t="shared" si="0"/>
        <v>39.571902813889267</v>
      </c>
      <c r="L9" s="11">
        <f t="shared" si="1"/>
        <v>0.8125</v>
      </c>
      <c r="M9" s="10">
        <f t="shared" si="2"/>
        <v>2</v>
      </c>
      <c r="N9" s="4">
        <v>286</v>
      </c>
      <c r="O9" s="90">
        <f t="shared" si="3"/>
        <v>16.983372921615203</v>
      </c>
      <c r="P9" s="4">
        <v>1</v>
      </c>
      <c r="Q9" s="4">
        <v>1680</v>
      </c>
      <c r="R9" s="4">
        <v>0</v>
      </c>
      <c r="S9" s="4">
        <v>1680</v>
      </c>
      <c r="T9" s="85"/>
      <c r="U9" s="4"/>
      <c r="V9" s="4"/>
      <c r="W9" s="4"/>
      <c r="X9" s="10"/>
      <c r="Y9" s="14">
        <v>1680</v>
      </c>
      <c r="Z9" s="12">
        <f>R9</f>
        <v>0</v>
      </c>
      <c r="AA9" s="4">
        <v>60</v>
      </c>
      <c r="AB9" s="4">
        <v>20</v>
      </c>
      <c r="AC9" s="86">
        <f>DEGREES(ATAN((AB9)/AA9))</f>
        <v>18.43494882292201</v>
      </c>
      <c r="AD9" s="13">
        <v>1684</v>
      </c>
      <c r="AE9" s="64">
        <f>0.0001*2</f>
        <v>2.0000000000000001E-4</v>
      </c>
      <c r="AF9" s="12">
        <v>1095</v>
      </c>
      <c r="AG9" s="11">
        <f t="shared" si="4"/>
        <v>33.033433792504262</v>
      </c>
      <c r="AH9" s="11">
        <f t="shared" si="5"/>
        <v>33.033433792504262</v>
      </c>
      <c r="AI9" s="15">
        <v>3.5731999999999999</v>
      </c>
      <c r="AJ9" s="4">
        <f>94+76</f>
        <v>170</v>
      </c>
      <c r="AK9" s="4">
        <v>689</v>
      </c>
      <c r="AL9" s="75">
        <f>(AJ9/AD9)*100</f>
        <v>10.095011876484561</v>
      </c>
      <c r="AM9" s="75">
        <f>(AK9/AD9)*100</f>
        <v>40.914489311163891</v>
      </c>
      <c r="AN9" s="16"/>
      <c r="AO9" s="4">
        <v>4</v>
      </c>
      <c r="AP9" s="13">
        <v>3</v>
      </c>
      <c r="AQ9" s="71">
        <f t="shared" si="6"/>
        <v>2</v>
      </c>
      <c r="AT9" s="18">
        <f t="shared" si="7"/>
        <v>33.033433792504262</v>
      </c>
      <c r="AU9" s="18">
        <f t="shared" si="8"/>
        <v>33.033433792504262</v>
      </c>
      <c r="AV9" s="18">
        <f t="shared" si="9"/>
        <v>0</v>
      </c>
      <c r="AX9" s="18">
        <f t="shared" si="10"/>
        <v>30.311744020228279</v>
      </c>
      <c r="AY9" s="18">
        <f t="shared" si="11"/>
        <v>2.7216897722759832</v>
      </c>
      <c r="BA9" s="17">
        <f t="shared" si="12"/>
        <v>1095</v>
      </c>
      <c r="BB9" s="17">
        <f t="shared" si="13"/>
        <v>1684</v>
      </c>
      <c r="BC9" s="5" t="str">
        <f t="shared" si="14"/>
        <v>35-40</v>
      </c>
      <c r="BD9" s="5" t="str">
        <f t="shared" si="15"/>
        <v>2EXP-4-4EXP-4</v>
      </c>
      <c r="BE9" s="5" t="str">
        <f t="shared" si="16"/>
        <v>900-1200</v>
      </c>
      <c r="BF9" s="5" t="str">
        <f t="shared" si="17"/>
        <v>1500-2000</v>
      </c>
      <c r="BG9" s="5" t="str">
        <f t="shared" si="18"/>
        <v>NW</v>
      </c>
      <c r="BH9" s="5" t="str">
        <f t="shared" si="19"/>
        <v>0-20</v>
      </c>
      <c r="BI9" s="5" t="str">
        <f t="shared" si="20"/>
        <v>38-40</v>
      </c>
      <c r="BK9" s="5">
        <f t="shared" si="21"/>
        <v>1</v>
      </c>
      <c r="BL9" s="5">
        <f t="shared" si="22"/>
        <v>0</v>
      </c>
      <c r="BM9" s="5">
        <f t="shared" si="23"/>
        <v>1</v>
      </c>
      <c r="BN9" s="5">
        <f t="shared" si="24"/>
        <v>1</v>
      </c>
      <c r="BO9" s="5">
        <f t="shared" si="25"/>
        <v>0</v>
      </c>
      <c r="BP9" s="5">
        <f t="shared" si="26"/>
        <v>1</v>
      </c>
      <c r="BQ9" s="5">
        <f t="shared" si="27"/>
        <v>1</v>
      </c>
      <c r="BR9" s="5">
        <f t="shared" si="28"/>
        <v>1</v>
      </c>
      <c r="BS9" s="5">
        <f t="shared" si="29"/>
        <v>1</v>
      </c>
      <c r="BU9" s="18">
        <f t="shared" si="30"/>
        <v>32.63437746696917</v>
      </c>
      <c r="BV9" s="18">
        <f t="shared" si="31"/>
        <v>0.39905632553509207</v>
      </c>
      <c r="BW9" s="18">
        <f t="shared" si="32"/>
        <v>-1.2309436744649078</v>
      </c>
      <c r="BX9" s="18">
        <f t="shared" si="33"/>
        <v>2.029056325535092</v>
      </c>
      <c r="BY9" s="5" t="str">
        <f t="shared" si="34"/>
        <v/>
      </c>
      <c r="CB9" s="18" t="str">
        <f>IF($BG9=CB$1,$AI9," ")</f>
        <v xml:space="preserve"> </v>
      </c>
      <c r="CC9" s="18">
        <f t="shared" si="35"/>
        <v>3.5731999999999999</v>
      </c>
    </row>
    <row r="10" spans="1:81" s="5" customFormat="1" ht="8.25" x14ac:dyDescent="0.15">
      <c r="A10" s="1" t="s">
        <v>17</v>
      </c>
      <c r="B10" s="2" t="s">
        <v>18</v>
      </c>
      <c r="C10" s="1" t="s">
        <v>19</v>
      </c>
      <c r="D10" s="6">
        <v>2</v>
      </c>
      <c r="E10" s="3">
        <v>64</v>
      </c>
      <c r="F10" s="8">
        <f t="shared" ref="F10:F41" si="36">IF(E10&lt;22.5,1,IF(E10&lt;67.5,2,IF(E10&lt;112.5,3,IF(E10&lt;157.5,4,IF(E10&lt;202.5,5,IF(E10&lt;247.5,6,IF(E10&lt;292.5,7,IF(E10&lt;337.5,8,"1"))))))))</f>
        <v>2</v>
      </c>
      <c r="G10" s="3">
        <v>2615</v>
      </c>
      <c r="H10" s="7">
        <v>2350</v>
      </c>
      <c r="I10" s="7">
        <v>427</v>
      </c>
      <c r="J10" s="3">
        <v>153</v>
      </c>
      <c r="K10" s="85">
        <f t="shared" si="0"/>
        <v>33.168420821259481</v>
      </c>
      <c r="L10" s="11">
        <f t="shared" si="1"/>
        <v>11.3155</v>
      </c>
      <c r="M10" s="10">
        <f t="shared" si="2"/>
        <v>4</v>
      </c>
      <c r="N10" s="4">
        <v>465</v>
      </c>
      <c r="O10" s="90">
        <f t="shared" si="3"/>
        <v>22.485493230174079</v>
      </c>
      <c r="P10" s="4">
        <v>1</v>
      </c>
      <c r="Q10" s="4">
        <v>1915</v>
      </c>
      <c r="R10" s="4">
        <v>357</v>
      </c>
      <c r="S10" s="4">
        <v>1850</v>
      </c>
      <c r="T10" s="85">
        <f>DEGREES(ATAN((Q10-S10)/R10))</f>
        <v>10.318969164933822</v>
      </c>
      <c r="U10" s="4"/>
      <c r="V10" s="4"/>
      <c r="W10" s="4"/>
      <c r="X10" s="10"/>
      <c r="Y10" s="14">
        <v>1850</v>
      </c>
      <c r="Z10" s="12">
        <v>357</v>
      </c>
      <c r="AA10" s="4"/>
      <c r="AB10" s="4"/>
      <c r="AC10" s="86">
        <v>10.318969164933822</v>
      </c>
      <c r="AD10" s="13">
        <v>2068</v>
      </c>
      <c r="AE10" s="64">
        <f>0.0001*2</f>
        <v>2.0000000000000001E-4</v>
      </c>
      <c r="AF10" s="12">
        <v>765</v>
      </c>
      <c r="AG10" s="11">
        <f t="shared" si="4"/>
        <v>20.300574462939771</v>
      </c>
      <c r="AH10" s="11">
        <f t="shared" si="5"/>
        <v>22.250327552790701</v>
      </c>
      <c r="AI10" s="15"/>
      <c r="AJ10" s="4"/>
      <c r="AK10" s="4"/>
      <c r="AL10" s="75"/>
      <c r="AM10" s="75"/>
      <c r="AN10" s="16"/>
      <c r="AO10" s="4">
        <v>4</v>
      </c>
      <c r="AP10" s="13">
        <v>3</v>
      </c>
      <c r="AQ10" s="71">
        <f t="shared" si="6"/>
        <v>2</v>
      </c>
      <c r="AT10" s="18">
        <f t="shared" si="7"/>
        <v>22.250327552790701</v>
      </c>
      <c r="AU10" s="18">
        <f t="shared" si="8"/>
        <v>20.300574462939771</v>
      </c>
      <c r="AV10" s="18">
        <f t="shared" si="9"/>
        <v>1.9497530898509297</v>
      </c>
      <c r="AX10" s="18">
        <f t="shared" si="10"/>
        <v>20.324752215648839</v>
      </c>
      <c r="AY10" s="18">
        <f t="shared" si="11"/>
        <v>-2.4177752709068301E-2</v>
      </c>
      <c r="BA10" s="17">
        <f t="shared" si="12"/>
        <v>700</v>
      </c>
      <c r="BB10" s="17">
        <f t="shared" si="13"/>
        <v>1711</v>
      </c>
      <c r="BC10" s="5" t="str">
        <f t="shared" si="14"/>
        <v>30-35</v>
      </c>
      <c r="BD10" s="5" t="str">
        <f t="shared" si="15"/>
        <v>2EXP-4-4EXP-4</v>
      </c>
      <c r="BE10" s="5" t="str">
        <f t="shared" si="16"/>
        <v>600-900</v>
      </c>
      <c r="BF10" s="5" t="str">
        <f t="shared" si="17"/>
        <v>2000-2500</v>
      </c>
      <c r="BG10" s="5" t="str">
        <f t="shared" si="18"/>
        <v>SE</v>
      </c>
      <c r="BH10" s="5" t="str">
        <f t="shared" si="19"/>
        <v>20-40</v>
      </c>
      <c r="BI10" s="5" t="str">
        <f t="shared" si="20"/>
        <v>32-34</v>
      </c>
      <c r="BK10" s="5">
        <f t="shared" si="21"/>
        <v>1</v>
      </c>
      <c r="BL10" s="5">
        <f t="shared" si="22"/>
        <v>0</v>
      </c>
      <c r="BM10" s="5">
        <f t="shared" si="23"/>
        <v>1</v>
      </c>
      <c r="BN10" s="5">
        <f t="shared" si="24"/>
        <v>1</v>
      </c>
      <c r="BO10" s="5">
        <f t="shared" si="25"/>
        <v>0</v>
      </c>
      <c r="BP10" s="5">
        <f t="shared" si="26"/>
        <v>0</v>
      </c>
      <c r="BQ10" s="5">
        <f t="shared" si="27"/>
        <v>0</v>
      </c>
      <c r="BR10" s="5">
        <f t="shared" si="28"/>
        <v>1</v>
      </c>
      <c r="BS10" s="5">
        <f t="shared" si="29"/>
        <v>1</v>
      </c>
      <c r="BU10" s="18">
        <f t="shared" si="30"/>
        <v>19.348413535079352</v>
      </c>
      <c r="BV10" s="18">
        <f t="shared" si="31"/>
        <v>0.95216092786041884</v>
      </c>
      <c r="BW10" s="18">
        <f t="shared" si="32"/>
        <v>-0.67783907213958106</v>
      </c>
      <c r="BX10" s="18">
        <f t="shared" si="33"/>
        <v>2.5821609278604187</v>
      </c>
      <c r="BY10" s="5" t="str">
        <f t="shared" si="34"/>
        <v/>
      </c>
      <c r="CB10" s="18"/>
      <c r="CC10" s="18" t="str">
        <f t="shared" si="35"/>
        <v xml:space="preserve"> </v>
      </c>
    </row>
    <row r="11" spans="1:81" s="5" customFormat="1" ht="8.25" x14ac:dyDescent="0.15">
      <c r="A11" s="1" t="s">
        <v>20</v>
      </c>
      <c r="B11" s="2" t="s">
        <v>21</v>
      </c>
      <c r="C11" s="1" t="s">
        <v>22</v>
      </c>
      <c r="D11" s="6">
        <v>2</v>
      </c>
      <c r="E11" s="3">
        <v>80</v>
      </c>
      <c r="F11" s="8">
        <f t="shared" si="36"/>
        <v>3</v>
      </c>
      <c r="G11" s="3">
        <v>2375</v>
      </c>
      <c r="H11" s="7">
        <v>2100</v>
      </c>
      <c r="I11" s="7">
        <v>225</v>
      </c>
      <c r="J11" s="3">
        <v>124</v>
      </c>
      <c r="K11" s="85">
        <f t="shared" si="0"/>
        <v>38.884496433714595</v>
      </c>
      <c r="L11" s="11">
        <f t="shared" si="1"/>
        <v>6.1875</v>
      </c>
      <c r="M11" s="10">
        <f t="shared" si="2"/>
        <v>4</v>
      </c>
      <c r="N11" s="4">
        <v>1528</v>
      </c>
      <c r="O11" s="90">
        <f t="shared" si="3"/>
        <v>63.062319438712343</v>
      </c>
      <c r="P11" s="4">
        <v>1</v>
      </c>
      <c r="Q11" s="4">
        <v>1185</v>
      </c>
      <c r="R11" s="19">
        <v>6</v>
      </c>
      <c r="S11" s="19">
        <v>1184</v>
      </c>
      <c r="T11" s="85">
        <f>DEGREES(ATAN((Q11-S11)/R11))</f>
        <v>9.4623222080256166</v>
      </c>
      <c r="U11" s="19"/>
      <c r="V11" s="19"/>
      <c r="W11" s="19"/>
      <c r="X11" s="10"/>
      <c r="Y11" s="14">
        <v>1184</v>
      </c>
      <c r="Z11" s="12">
        <v>6</v>
      </c>
      <c r="AA11" s="4"/>
      <c r="AB11" s="4"/>
      <c r="AC11" s="86">
        <v>9.4623222080256166</v>
      </c>
      <c r="AD11" s="13">
        <v>2423</v>
      </c>
      <c r="AE11" s="64">
        <f>0.000006*2</f>
        <v>1.2E-5</v>
      </c>
      <c r="AF11" s="12">
        <v>1191</v>
      </c>
      <c r="AG11" s="11">
        <f t="shared" si="4"/>
        <v>26.175935582556686</v>
      </c>
      <c r="AH11" s="11">
        <f t="shared" si="5"/>
        <v>26.21313929393866</v>
      </c>
      <c r="AI11" s="15"/>
      <c r="AJ11" s="4"/>
      <c r="AK11" s="4"/>
      <c r="AL11" s="75"/>
      <c r="AM11" s="75"/>
      <c r="AN11" s="16"/>
      <c r="AO11" s="4">
        <v>4</v>
      </c>
      <c r="AP11" s="13">
        <v>3</v>
      </c>
      <c r="AQ11" s="71">
        <f t="shared" si="6"/>
        <v>2</v>
      </c>
      <c r="AT11" s="18">
        <f t="shared" si="7"/>
        <v>26.21313929393866</v>
      </c>
      <c r="AU11" s="18">
        <f t="shared" si="8"/>
        <v>26.175935582556686</v>
      </c>
      <c r="AV11" s="18">
        <f t="shared" si="9"/>
        <v>3.7203711381973648E-2</v>
      </c>
      <c r="AX11" s="18">
        <f t="shared" si="10"/>
        <v>23.021117256332769</v>
      </c>
      <c r="AY11" s="18">
        <f t="shared" si="11"/>
        <v>3.1548183262239178</v>
      </c>
      <c r="BA11" s="17">
        <f t="shared" si="12"/>
        <v>1190</v>
      </c>
      <c r="BB11" s="17">
        <f t="shared" si="13"/>
        <v>2417</v>
      </c>
      <c r="BC11" s="5" t="str">
        <f t="shared" si="14"/>
        <v>35-40</v>
      </c>
      <c r="BD11" s="5" t="str">
        <f t="shared" si="15"/>
        <v>&lt;2EXP-4</v>
      </c>
      <c r="BE11" s="5" t="str">
        <f t="shared" si="16"/>
        <v>900-1200</v>
      </c>
      <c r="BF11" s="5" t="str">
        <f t="shared" si="17"/>
        <v>2000-2500</v>
      </c>
      <c r="BG11" s="5" t="str">
        <f t="shared" si="18"/>
        <v>SE</v>
      </c>
      <c r="BH11" s="5" t="str">
        <f t="shared" si="19"/>
        <v>60-80</v>
      </c>
      <c r="BI11" s="5" t="str">
        <f t="shared" si="20"/>
        <v>38-40</v>
      </c>
      <c r="BK11" s="5">
        <f t="shared" si="21"/>
        <v>1</v>
      </c>
      <c r="BL11" s="5">
        <f t="shared" si="22"/>
        <v>0</v>
      </c>
      <c r="BM11" s="5">
        <f t="shared" si="23"/>
        <v>1</v>
      </c>
      <c r="BN11" s="5">
        <f t="shared" si="24"/>
        <v>1</v>
      </c>
      <c r="BO11" s="5">
        <f t="shared" si="25"/>
        <v>0</v>
      </c>
      <c r="BP11" s="5">
        <f t="shared" si="26"/>
        <v>0</v>
      </c>
      <c r="BQ11" s="5">
        <f t="shared" si="27"/>
        <v>0</v>
      </c>
      <c r="BR11" s="5">
        <f t="shared" si="28"/>
        <v>0</v>
      </c>
      <c r="BS11" s="5">
        <f t="shared" si="29"/>
        <v>1</v>
      </c>
      <c r="BU11" s="18">
        <f t="shared" si="30"/>
        <v>24.462812888511984</v>
      </c>
      <c r="BV11" s="18">
        <f t="shared" si="31"/>
        <v>1.7131226940447029</v>
      </c>
      <c r="BW11" s="18">
        <f t="shared" si="32"/>
        <v>8.3122694044702961E-2</v>
      </c>
      <c r="BX11" s="18">
        <f t="shared" si="33"/>
        <v>3.3431226940447027</v>
      </c>
      <c r="BY11" s="5">
        <f t="shared" si="34"/>
        <v>1</v>
      </c>
      <c r="CB11" s="18"/>
      <c r="CC11" s="18" t="str">
        <f t="shared" si="35"/>
        <v xml:space="preserve"> </v>
      </c>
    </row>
    <row r="12" spans="1:81" s="5" customFormat="1" ht="8.25" x14ac:dyDescent="0.15">
      <c r="A12" s="1" t="s">
        <v>217</v>
      </c>
      <c r="B12" s="2" t="str">
        <f>MID(A12,1,6)</f>
        <v>FLM544</v>
      </c>
      <c r="C12" s="1" t="s">
        <v>218</v>
      </c>
      <c r="D12" s="6">
        <v>2</v>
      </c>
      <c r="E12" s="7">
        <v>210</v>
      </c>
      <c r="F12" s="8">
        <f t="shared" si="36"/>
        <v>6</v>
      </c>
      <c r="G12" s="3">
        <v>2400</v>
      </c>
      <c r="H12" s="7">
        <v>2100</v>
      </c>
      <c r="I12" s="7">
        <v>321</v>
      </c>
      <c r="J12" s="3">
        <v>117</v>
      </c>
      <c r="K12" s="85">
        <f t="shared" si="0"/>
        <v>40.520539547649726</v>
      </c>
      <c r="L12" s="11">
        <f t="shared" si="1"/>
        <v>9.6300000000000008</v>
      </c>
      <c r="M12" s="10">
        <f t="shared" si="2"/>
        <v>4</v>
      </c>
      <c r="N12" s="4">
        <v>953</v>
      </c>
      <c r="O12" s="90">
        <f t="shared" si="3"/>
        <v>56.025867136978249</v>
      </c>
      <c r="P12" s="4">
        <v>1</v>
      </c>
      <c r="Q12" s="4">
        <v>1525</v>
      </c>
      <c r="R12" s="4">
        <v>120</v>
      </c>
      <c r="S12" s="4">
        <v>1517</v>
      </c>
      <c r="T12" s="85">
        <f>DEGREES(ATAN((Q12-S12)/R12))</f>
        <v>3.8140748342903543</v>
      </c>
      <c r="U12" s="4"/>
      <c r="V12" s="19"/>
      <c r="W12" s="19"/>
      <c r="X12" s="10"/>
      <c r="Y12" s="14">
        <f>S12</f>
        <v>1517</v>
      </c>
      <c r="Z12" s="12">
        <f>R12+V12-U12</f>
        <v>120</v>
      </c>
      <c r="AA12" s="4"/>
      <c r="AB12" s="4"/>
      <c r="AC12" s="86">
        <f>T12</f>
        <v>3.8140748342903543</v>
      </c>
      <c r="AD12" s="13">
        <v>1701</v>
      </c>
      <c r="AE12" s="64">
        <f>0.00009*2</f>
        <v>1.8000000000000001E-4</v>
      </c>
      <c r="AF12" s="12">
        <f>G12-S12</f>
        <v>883</v>
      </c>
      <c r="AG12" s="11">
        <f t="shared" si="4"/>
        <v>27.434115367071115</v>
      </c>
      <c r="AH12" s="11">
        <f t="shared" si="5"/>
        <v>28.96221150095251</v>
      </c>
      <c r="AI12" s="15"/>
      <c r="AJ12" s="4"/>
      <c r="AK12" s="4"/>
      <c r="AL12" s="75"/>
      <c r="AM12" s="75"/>
      <c r="AN12" s="16"/>
      <c r="AO12" s="4">
        <v>4</v>
      </c>
      <c r="AP12" s="13">
        <v>3</v>
      </c>
      <c r="AQ12" s="71">
        <f t="shared" si="6"/>
        <v>2</v>
      </c>
      <c r="AT12" s="18">
        <f t="shared" si="7"/>
        <v>28.96221150095251</v>
      </c>
      <c r="AU12" s="18">
        <f t="shared" si="8"/>
        <v>27.434115367071115</v>
      </c>
      <c r="AV12" s="18">
        <f t="shared" si="9"/>
        <v>1.5280961338813945</v>
      </c>
      <c r="AX12" s="18">
        <f t="shared" si="10"/>
        <v>25.859902855733431</v>
      </c>
      <c r="AY12" s="18">
        <f t="shared" si="11"/>
        <v>1.5742125113376844</v>
      </c>
      <c r="BA12" s="17">
        <f t="shared" si="12"/>
        <v>875</v>
      </c>
      <c r="BB12" s="17">
        <f t="shared" si="13"/>
        <v>1581</v>
      </c>
      <c r="BC12" s="5" t="str">
        <f t="shared" si="14"/>
        <v>40-45</v>
      </c>
      <c r="BD12" s="5" t="str">
        <f t="shared" si="15"/>
        <v>&lt;2EXP-4</v>
      </c>
      <c r="BE12" s="5" t="str">
        <f t="shared" si="16"/>
        <v>600-900</v>
      </c>
      <c r="BF12" s="5" t="str">
        <f t="shared" si="17"/>
        <v>1500-2000</v>
      </c>
      <c r="BG12" s="5" t="str">
        <f t="shared" si="18"/>
        <v>SE</v>
      </c>
      <c r="BH12" s="5" t="str">
        <f t="shared" si="19"/>
        <v>40-60</v>
      </c>
      <c r="BI12" s="5" t="str">
        <f t="shared" si="20"/>
        <v>40-42</v>
      </c>
      <c r="BK12" s="5">
        <f t="shared" si="21"/>
        <v>1</v>
      </c>
      <c r="BL12" s="5">
        <f t="shared" si="22"/>
        <v>0</v>
      </c>
      <c r="BM12" s="5">
        <f t="shared" si="23"/>
        <v>1</v>
      </c>
      <c r="BN12" s="5">
        <f t="shared" si="24"/>
        <v>1</v>
      </c>
      <c r="BO12" s="5">
        <f t="shared" si="25"/>
        <v>0</v>
      </c>
      <c r="BP12" s="5">
        <f t="shared" si="26"/>
        <v>0</v>
      </c>
      <c r="BQ12" s="5">
        <f t="shared" si="27"/>
        <v>0</v>
      </c>
      <c r="BR12" s="5">
        <f t="shared" si="28"/>
        <v>1</v>
      </c>
      <c r="BS12" s="5">
        <f t="shared" si="29"/>
        <v>1</v>
      </c>
      <c r="BU12" s="18">
        <f t="shared" si="30"/>
        <v>25.540582658765249</v>
      </c>
      <c r="BV12" s="18">
        <f t="shared" si="31"/>
        <v>1.893532708305866</v>
      </c>
      <c r="BW12" s="18">
        <f t="shared" si="32"/>
        <v>0.26353270830586606</v>
      </c>
      <c r="BX12" s="18">
        <f t="shared" si="33"/>
        <v>3.5235327083058658</v>
      </c>
      <c r="BY12" s="5">
        <f t="shared" si="34"/>
        <v>1</v>
      </c>
      <c r="CB12" s="18"/>
      <c r="CC12" s="18" t="str">
        <f t="shared" si="35"/>
        <v xml:space="preserve"> </v>
      </c>
    </row>
    <row r="13" spans="1:81" s="5" customFormat="1" ht="8.25" x14ac:dyDescent="0.15">
      <c r="A13" s="68" t="s">
        <v>23</v>
      </c>
      <c r="B13" s="2" t="s">
        <v>24</v>
      </c>
      <c r="C13" s="1"/>
      <c r="D13" s="6">
        <v>2</v>
      </c>
      <c r="E13" s="7">
        <v>240</v>
      </c>
      <c r="F13" s="8">
        <f t="shared" si="36"/>
        <v>6</v>
      </c>
      <c r="G13" s="3">
        <v>1950</v>
      </c>
      <c r="H13" s="7">
        <v>1800</v>
      </c>
      <c r="I13" s="7">
        <v>282</v>
      </c>
      <c r="J13" s="3">
        <v>154</v>
      </c>
      <c r="K13" s="85">
        <f t="shared" si="0"/>
        <v>32.99770510121629</v>
      </c>
      <c r="L13" s="11">
        <f t="shared" si="1"/>
        <v>4.2300000000000004</v>
      </c>
      <c r="M13" s="10">
        <f t="shared" si="2"/>
        <v>3</v>
      </c>
      <c r="N13" s="4">
        <v>1145</v>
      </c>
      <c r="O13" s="90">
        <f t="shared" si="3"/>
        <v>68.521843207660083</v>
      </c>
      <c r="P13" s="4">
        <v>1</v>
      </c>
      <c r="Q13" s="4">
        <v>1180</v>
      </c>
      <c r="R13" s="4"/>
      <c r="S13" s="4">
        <v>1192</v>
      </c>
      <c r="T13" s="85"/>
      <c r="U13" s="4">
        <v>45</v>
      </c>
      <c r="V13" s="4"/>
      <c r="W13" s="4"/>
      <c r="X13" s="10"/>
      <c r="Y13" s="14">
        <v>1185</v>
      </c>
      <c r="Z13" s="12">
        <v>-45</v>
      </c>
      <c r="AA13" s="4">
        <v>70</v>
      </c>
      <c r="AB13" s="4">
        <v>15</v>
      </c>
      <c r="AC13" s="86">
        <v>12.094757077012101</v>
      </c>
      <c r="AD13" s="13">
        <v>1671</v>
      </c>
      <c r="AE13" s="64">
        <f>0.0001*2</f>
        <v>2.0000000000000001E-4</v>
      </c>
      <c r="AF13" s="12">
        <v>765</v>
      </c>
      <c r="AG13" s="11">
        <f t="shared" si="4"/>
        <v>24.598766020841968</v>
      </c>
      <c r="AH13" s="11">
        <f t="shared" si="5"/>
        <v>24.166629842985486</v>
      </c>
      <c r="AI13" s="15"/>
      <c r="AJ13" s="4"/>
      <c r="AK13" s="4"/>
      <c r="AL13" s="75"/>
      <c r="AM13" s="75"/>
      <c r="AN13" s="16"/>
      <c r="AO13" s="4">
        <v>4</v>
      </c>
      <c r="AP13" s="13">
        <v>7</v>
      </c>
      <c r="AQ13" s="71">
        <f t="shared" si="6"/>
        <v>3</v>
      </c>
      <c r="AT13" s="18">
        <f t="shared" si="7"/>
        <v>24.166629842985486</v>
      </c>
      <c r="AU13" s="18">
        <f t="shared" si="8"/>
        <v>24.598766020841968</v>
      </c>
      <c r="AV13" s="18">
        <f t="shared" si="9"/>
        <v>-0.4321361778564814</v>
      </c>
      <c r="AX13" s="18">
        <f t="shared" si="10"/>
        <v>22.847304979098826</v>
      </c>
      <c r="AY13" s="18">
        <f t="shared" si="11"/>
        <v>1.7514610417431413</v>
      </c>
      <c r="BA13" s="17">
        <f t="shared" si="12"/>
        <v>770</v>
      </c>
      <c r="BB13" s="17">
        <f t="shared" si="13"/>
        <v>1716</v>
      </c>
      <c r="BC13" s="5" t="str">
        <f t="shared" si="14"/>
        <v>30-35</v>
      </c>
      <c r="BD13" s="5" t="str">
        <f t="shared" si="15"/>
        <v>2EXP-4-4EXP-4</v>
      </c>
      <c r="BE13" s="5" t="str">
        <f t="shared" si="16"/>
        <v>600-900</v>
      </c>
      <c r="BF13" s="5" t="str">
        <f t="shared" si="17"/>
        <v>1500-2000</v>
      </c>
      <c r="BG13" s="5" t="str">
        <f t="shared" si="18"/>
        <v>NW</v>
      </c>
      <c r="BH13" s="5" t="str">
        <f t="shared" si="19"/>
        <v>60-80</v>
      </c>
      <c r="BI13" s="5" t="str">
        <f t="shared" si="20"/>
        <v>30-32</v>
      </c>
      <c r="BK13" s="5">
        <f t="shared" si="21"/>
        <v>1</v>
      </c>
      <c r="BL13" s="5">
        <f t="shared" si="22"/>
        <v>0</v>
      </c>
      <c r="BM13" s="5">
        <f t="shared" si="23"/>
        <v>1</v>
      </c>
      <c r="BN13" s="5">
        <f t="shared" si="24"/>
        <v>1</v>
      </c>
      <c r="BO13" s="5">
        <f t="shared" si="25"/>
        <v>0</v>
      </c>
      <c r="BP13" s="5">
        <f t="shared" si="26"/>
        <v>0</v>
      </c>
      <c r="BQ13" s="5">
        <f t="shared" si="27"/>
        <v>1</v>
      </c>
      <c r="BR13" s="5">
        <f t="shared" si="28"/>
        <v>0</v>
      </c>
      <c r="BS13" s="5">
        <f t="shared" si="29"/>
        <v>0</v>
      </c>
      <c r="BU13" s="18">
        <f t="shared" si="30"/>
        <v>22.404946708342464</v>
      </c>
      <c r="BV13" s="18">
        <f t="shared" si="31"/>
        <v>2.1938193124995031</v>
      </c>
      <c r="BW13" s="18">
        <f t="shared" si="32"/>
        <v>0.56381931249950323</v>
      </c>
      <c r="BX13" s="18">
        <f t="shared" si="33"/>
        <v>3.823819312499503</v>
      </c>
      <c r="BY13" s="5">
        <f t="shared" si="34"/>
        <v>1</v>
      </c>
      <c r="CB13" s="18"/>
      <c r="CC13" s="18"/>
    </row>
    <row r="14" spans="1:81" s="5" customFormat="1" ht="8.25" x14ac:dyDescent="0.15">
      <c r="A14" s="1" t="s">
        <v>185</v>
      </c>
      <c r="B14" s="2" t="str">
        <f>MID(A14,1,6)</f>
        <v>FRE045</v>
      </c>
      <c r="C14" s="1" t="s">
        <v>186</v>
      </c>
      <c r="D14" s="6">
        <v>1</v>
      </c>
      <c r="E14" s="7">
        <v>330</v>
      </c>
      <c r="F14" s="8">
        <f t="shared" si="36"/>
        <v>8</v>
      </c>
      <c r="G14" s="3">
        <v>2565</v>
      </c>
      <c r="H14" s="7">
        <v>2250</v>
      </c>
      <c r="I14" s="7">
        <v>423</v>
      </c>
      <c r="J14" s="3">
        <v>118</v>
      </c>
      <c r="K14" s="85">
        <f t="shared" si="0"/>
        <v>40.279863068956445</v>
      </c>
      <c r="L14" s="11">
        <f t="shared" si="1"/>
        <v>13.3245</v>
      </c>
      <c r="M14" s="10">
        <f t="shared" si="2"/>
        <v>4</v>
      </c>
      <c r="N14" s="4">
        <v>1052</v>
      </c>
      <c r="O14" s="90">
        <f t="shared" si="3"/>
        <v>50.071394574012373</v>
      </c>
      <c r="P14" s="4">
        <v>2</v>
      </c>
      <c r="Q14" s="4">
        <v>1575</v>
      </c>
      <c r="R14" s="4">
        <v>434</v>
      </c>
      <c r="S14" s="4">
        <v>1521</v>
      </c>
      <c r="T14" s="85">
        <f>DEGREES(ATAN((Q14-S14)/R14))</f>
        <v>7.0925173282730745</v>
      </c>
      <c r="U14" s="4"/>
      <c r="V14" s="4"/>
      <c r="W14" s="4"/>
      <c r="X14" s="10"/>
      <c r="Y14" s="14">
        <f>S14</f>
        <v>1521</v>
      </c>
      <c r="Z14" s="12">
        <f>R14+V14-U14</f>
        <v>434</v>
      </c>
      <c r="AA14" s="4"/>
      <c r="AB14" s="4"/>
      <c r="AC14" s="86">
        <f>T14</f>
        <v>7.0925173282730745</v>
      </c>
      <c r="AD14" s="13">
        <v>2101</v>
      </c>
      <c r="AE14" s="64">
        <f>0.0002*2</f>
        <v>4.0000000000000002E-4</v>
      </c>
      <c r="AF14" s="12">
        <f>G14-S14</f>
        <v>1044</v>
      </c>
      <c r="AG14" s="11">
        <f t="shared" si="4"/>
        <v>26.423068026294693</v>
      </c>
      <c r="AH14" s="11">
        <f t="shared" si="5"/>
        <v>30.705281084718752</v>
      </c>
      <c r="AI14" s="15">
        <v>5.9745999999999997</v>
      </c>
      <c r="AJ14" s="4">
        <v>743</v>
      </c>
      <c r="AK14" s="4">
        <v>911</v>
      </c>
      <c r="AL14" s="75">
        <f>(AJ14/AD14)*100</f>
        <v>35.364112327463118</v>
      </c>
      <c r="AM14" s="75">
        <f>(AK14/AD14)*100</f>
        <v>43.36030461684912</v>
      </c>
      <c r="AN14" s="16"/>
      <c r="AO14" s="4">
        <v>4</v>
      </c>
      <c r="AP14" s="13">
        <v>7</v>
      </c>
      <c r="AQ14" s="71">
        <f t="shared" si="6"/>
        <v>3</v>
      </c>
      <c r="AT14" s="18">
        <f t="shared" si="7"/>
        <v>30.705281084718752</v>
      </c>
      <c r="AU14" s="18">
        <f t="shared" si="8"/>
        <v>26.423068026294693</v>
      </c>
      <c r="AV14" s="18">
        <f t="shared" si="9"/>
        <v>4.282213058424059</v>
      </c>
      <c r="AX14" s="18">
        <f t="shared" si="10"/>
        <v>26.802066435233439</v>
      </c>
      <c r="AY14" s="18">
        <f t="shared" si="11"/>
        <v>-0.37899840893874526</v>
      </c>
      <c r="BA14" s="17">
        <f t="shared" si="12"/>
        <v>990</v>
      </c>
      <c r="BB14" s="17">
        <f t="shared" si="13"/>
        <v>1667</v>
      </c>
      <c r="BC14" s="5" t="str">
        <f t="shared" si="14"/>
        <v>40-45</v>
      </c>
      <c r="BD14" s="5" t="str">
        <f t="shared" si="15"/>
        <v>4EXP-4-6EXP-4</v>
      </c>
      <c r="BE14" s="5" t="str">
        <f t="shared" si="16"/>
        <v>900-1200</v>
      </c>
      <c r="BF14" s="5" t="str">
        <f t="shared" si="17"/>
        <v>2000-2500</v>
      </c>
      <c r="BG14" s="5" t="str">
        <f t="shared" si="18"/>
        <v>NW</v>
      </c>
      <c r="BH14" s="5" t="str">
        <f t="shared" si="19"/>
        <v>40-60</v>
      </c>
      <c r="BI14" s="5" t="str">
        <f t="shared" si="20"/>
        <v>40-42</v>
      </c>
      <c r="BK14" s="5">
        <f t="shared" si="21"/>
        <v>1</v>
      </c>
      <c r="BL14" s="5">
        <f t="shared" si="22"/>
        <v>0</v>
      </c>
      <c r="BM14" s="5">
        <f t="shared" si="23"/>
        <v>1</v>
      </c>
      <c r="BN14" s="5">
        <f t="shared" si="24"/>
        <v>1</v>
      </c>
      <c r="BO14" s="5">
        <f t="shared" si="25"/>
        <v>1</v>
      </c>
      <c r="BP14" s="5">
        <f t="shared" si="26"/>
        <v>0</v>
      </c>
      <c r="BQ14" s="5">
        <f t="shared" si="27"/>
        <v>1</v>
      </c>
      <c r="BR14" s="5">
        <f t="shared" si="28"/>
        <v>1</v>
      </c>
      <c r="BS14" s="5">
        <f t="shared" si="29"/>
        <v>0</v>
      </c>
      <c r="BU14" s="18">
        <f t="shared" si="30"/>
        <v>26.781221478498644</v>
      </c>
      <c r="BV14" s="18">
        <f t="shared" si="31"/>
        <v>-0.35815345220395045</v>
      </c>
      <c r="BW14" s="18">
        <f t="shared" si="32"/>
        <v>-1.9881534522039503</v>
      </c>
      <c r="BX14" s="18">
        <f t="shared" si="33"/>
        <v>1.2718465477960494</v>
      </c>
      <c r="BY14" s="5" t="str">
        <f t="shared" si="34"/>
        <v/>
      </c>
      <c r="CB14" s="18"/>
      <c r="CC14" s="18">
        <f>IF($BG14=CC$1,$AI14," ")</f>
        <v>5.9745999999999997</v>
      </c>
    </row>
    <row r="15" spans="1:81" s="5" customFormat="1" ht="8.25" x14ac:dyDescent="0.15">
      <c r="A15" s="1" t="s">
        <v>219</v>
      </c>
      <c r="B15" s="2" t="str">
        <f>MID(A15,1,6)</f>
        <v>FRE253</v>
      </c>
      <c r="C15" s="1" t="s">
        <v>220</v>
      </c>
      <c r="D15" s="6">
        <v>2</v>
      </c>
      <c r="E15" s="7">
        <v>120</v>
      </c>
      <c r="F15" s="8">
        <f t="shared" si="36"/>
        <v>4</v>
      </c>
      <c r="G15" s="3">
        <v>2290</v>
      </c>
      <c r="H15" s="7">
        <v>1850</v>
      </c>
      <c r="I15" s="7">
        <v>212</v>
      </c>
      <c r="J15" s="3">
        <v>177</v>
      </c>
      <c r="K15" s="85">
        <f t="shared" si="0"/>
        <v>29.465221384766682</v>
      </c>
      <c r="L15" s="11">
        <f t="shared" si="1"/>
        <v>9.3279999999999994</v>
      </c>
      <c r="M15" s="10">
        <f t="shared" si="2"/>
        <v>4</v>
      </c>
      <c r="N15" s="4">
        <v>696</v>
      </c>
      <c r="O15" s="90">
        <f t="shared" si="3"/>
        <v>48.166089965397923</v>
      </c>
      <c r="P15" s="4">
        <v>1</v>
      </c>
      <c r="Q15" s="4">
        <v>1320</v>
      </c>
      <c r="R15" s="4">
        <v>29</v>
      </c>
      <c r="S15" s="4">
        <v>1317</v>
      </c>
      <c r="T15" s="85">
        <f>DEGREES(ATAN((Q15-S15)/R15))</f>
        <v>5.9061411137705004</v>
      </c>
      <c r="U15" s="19"/>
      <c r="V15" s="19"/>
      <c r="W15" s="19"/>
      <c r="X15" s="10"/>
      <c r="Y15" s="14">
        <f>S15</f>
        <v>1317</v>
      </c>
      <c r="Z15" s="12">
        <f>R15+V15-U15</f>
        <v>29</v>
      </c>
      <c r="AA15" s="4"/>
      <c r="AB15" s="4"/>
      <c r="AC15" s="86">
        <f>T15</f>
        <v>5.9061411137705004</v>
      </c>
      <c r="AD15" s="13">
        <v>1445</v>
      </c>
      <c r="AE15" s="64">
        <f>0.00009*2</f>
        <v>1.8000000000000001E-4</v>
      </c>
      <c r="AF15" s="12">
        <f>G15-S15</f>
        <v>973</v>
      </c>
      <c r="AG15" s="11">
        <f t="shared" si="4"/>
        <v>33.954605943282566</v>
      </c>
      <c r="AH15" s="11">
        <f t="shared" si="5"/>
        <v>34.412244987524602</v>
      </c>
      <c r="AI15" s="15"/>
      <c r="AJ15" s="4"/>
      <c r="AK15" s="4"/>
      <c r="AL15" s="75"/>
      <c r="AM15" s="75"/>
      <c r="AN15" s="16"/>
      <c r="AO15" s="4">
        <v>4</v>
      </c>
      <c r="AP15" s="13">
        <v>7</v>
      </c>
      <c r="AQ15" s="71">
        <f t="shared" si="6"/>
        <v>3</v>
      </c>
      <c r="AT15" s="18">
        <f t="shared" si="7"/>
        <v>34.412244987524602</v>
      </c>
      <c r="AU15" s="18">
        <f t="shared" si="8"/>
        <v>33.954605943282566</v>
      </c>
      <c r="AV15" s="18">
        <f t="shared" si="9"/>
        <v>0.45763904424203616</v>
      </c>
      <c r="AX15" s="18">
        <f t="shared" si="10"/>
        <v>30.312428640393943</v>
      </c>
      <c r="AY15" s="18">
        <f t="shared" si="11"/>
        <v>3.6421773028886228</v>
      </c>
      <c r="BA15" s="17">
        <f t="shared" si="12"/>
        <v>970</v>
      </c>
      <c r="BB15" s="17">
        <f t="shared" si="13"/>
        <v>1416</v>
      </c>
      <c r="BC15" s="5" t="str">
        <f t="shared" si="14"/>
        <v>25-30</v>
      </c>
      <c r="BD15" s="5" t="str">
        <f t="shared" si="15"/>
        <v>&lt;2EXP-4</v>
      </c>
      <c r="BE15" s="5" t="str">
        <f t="shared" si="16"/>
        <v>900-1200</v>
      </c>
      <c r="BF15" s="5" t="str">
        <f t="shared" si="17"/>
        <v>1000-1500</v>
      </c>
      <c r="BG15" s="5" t="str">
        <f t="shared" si="18"/>
        <v>SE</v>
      </c>
      <c r="BH15" s="5" t="str">
        <f t="shared" si="19"/>
        <v>40-60</v>
      </c>
      <c r="BI15" s="5" t="str">
        <f t="shared" si="20"/>
        <v>25-30</v>
      </c>
      <c r="BK15" s="5">
        <f t="shared" si="21"/>
        <v>0</v>
      </c>
      <c r="BL15" s="5">
        <f t="shared" si="22"/>
        <v>0</v>
      </c>
      <c r="BM15" s="5">
        <f t="shared" si="23"/>
        <v>1</v>
      </c>
      <c r="BN15" s="5">
        <f t="shared" si="24"/>
        <v>1</v>
      </c>
      <c r="BO15" s="5">
        <f t="shared" si="25"/>
        <v>0</v>
      </c>
      <c r="BP15" s="5">
        <f t="shared" si="26"/>
        <v>0</v>
      </c>
      <c r="BQ15" s="5">
        <f t="shared" si="27"/>
        <v>0</v>
      </c>
      <c r="BR15" s="5">
        <f t="shared" si="28"/>
        <v>1</v>
      </c>
      <c r="BS15" s="5">
        <f t="shared" si="29"/>
        <v>0</v>
      </c>
      <c r="BU15" s="18">
        <f t="shared" si="30"/>
        <v>30.37745852189817</v>
      </c>
      <c r="BV15" s="18">
        <f t="shared" si="31"/>
        <v>3.5771474213843959</v>
      </c>
      <c r="BW15" s="18">
        <f t="shared" si="32"/>
        <v>1.947147421384396</v>
      </c>
      <c r="BX15" s="18">
        <f t="shared" si="33"/>
        <v>5.2071474213843958</v>
      </c>
      <c r="BY15" s="5">
        <f t="shared" si="34"/>
        <v>1</v>
      </c>
      <c r="CB15" s="18"/>
      <c r="CC15" s="18" t="str">
        <f>IF($BG15=CC$1,$AI15," ")</f>
        <v xml:space="preserve"> </v>
      </c>
    </row>
    <row r="16" spans="1:81" s="5" customFormat="1" ht="8.25" x14ac:dyDescent="0.15">
      <c r="A16" s="1" t="s">
        <v>27</v>
      </c>
      <c r="B16" s="2" t="s">
        <v>25</v>
      </c>
      <c r="C16" s="1" t="s">
        <v>26</v>
      </c>
      <c r="D16" s="6">
        <v>2</v>
      </c>
      <c r="E16" s="7">
        <v>140</v>
      </c>
      <c r="F16" s="8">
        <f t="shared" si="36"/>
        <v>4</v>
      </c>
      <c r="G16" s="3">
        <v>1950</v>
      </c>
      <c r="H16" s="7">
        <v>1600</v>
      </c>
      <c r="I16" s="7">
        <v>584</v>
      </c>
      <c r="J16" s="3">
        <v>163</v>
      </c>
      <c r="K16" s="85">
        <f t="shared" si="0"/>
        <v>31.528988037753418</v>
      </c>
      <c r="L16" s="11">
        <f t="shared" si="1"/>
        <v>20.440000000000001</v>
      </c>
      <c r="M16" s="10">
        <f t="shared" si="2"/>
        <v>4</v>
      </c>
      <c r="N16" s="4">
        <v>1752</v>
      </c>
      <c r="O16" s="90">
        <f t="shared" si="3"/>
        <v>67.723231542327028</v>
      </c>
      <c r="P16" s="4">
        <v>1</v>
      </c>
      <c r="Q16" s="4">
        <v>755</v>
      </c>
      <c r="R16" s="4">
        <v>111</v>
      </c>
      <c r="S16" s="4">
        <v>745</v>
      </c>
      <c r="T16" s="85">
        <f>DEGREES(ATAN((Q16-S16)/R16))</f>
        <v>5.1478848241363018</v>
      </c>
      <c r="U16" s="4"/>
      <c r="V16" s="4"/>
      <c r="W16" s="4"/>
      <c r="X16" s="10"/>
      <c r="Y16" s="14">
        <v>745</v>
      </c>
      <c r="Z16" s="12">
        <v>111</v>
      </c>
      <c r="AA16" s="4"/>
      <c r="AB16" s="4"/>
      <c r="AC16" s="86">
        <v>5.1478848241363018</v>
      </c>
      <c r="AD16" s="13">
        <v>2587</v>
      </c>
      <c r="AE16" s="64">
        <f>0.00009*2</f>
        <v>1.8000000000000001E-4</v>
      </c>
      <c r="AF16" s="12">
        <v>1205</v>
      </c>
      <c r="AG16" s="11">
        <f t="shared" si="4"/>
        <v>24.975656048653068</v>
      </c>
      <c r="AH16" s="11">
        <f t="shared" si="5"/>
        <v>25.763503172559272</v>
      </c>
      <c r="AI16" s="15"/>
      <c r="AJ16" s="4"/>
      <c r="AK16" s="4"/>
      <c r="AL16" s="75"/>
      <c r="AM16" s="75"/>
      <c r="AN16" s="16" t="s">
        <v>28</v>
      </c>
      <c r="AO16" s="4">
        <v>4</v>
      </c>
      <c r="AP16" s="13">
        <v>1</v>
      </c>
      <c r="AQ16" s="71">
        <f t="shared" si="6"/>
        <v>1</v>
      </c>
      <c r="AT16" s="18">
        <f t="shared" si="7"/>
        <v>25.763503172559272</v>
      </c>
      <c r="AU16" s="18">
        <f t="shared" si="8"/>
        <v>24.975656048653068</v>
      </c>
      <c r="AV16" s="18">
        <f t="shared" si="9"/>
        <v>0.78784712390620371</v>
      </c>
      <c r="AX16" s="18">
        <f t="shared" si="10"/>
        <v>22.510897442870643</v>
      </c>
      <c r="AY16" s="18">
        <f t="shared" si="11"/>
        <v>2.4647586057824249</v>
      </c>
      <c r="BA16" s="17">
        <f t="shared" si="12"/>
        <v>1195</v>
      </c>
      <c r="BB16" s="17">
        <f t="shared" si="13"/>
        <v>2476</v>
      </c>
      <c r="BC16" s="5" t="str">
        <f t="shared" si="14"/>
        <v>30-35</v>
      </c>
      <c r="BD16" s="5" t="str">
        <f t="shared" si="15"/>
        <v>&lt;2EXP-4</v>
      </c>
      <c r="BE16" s="5" t="str">
        <f t="shared" si="16"/>
        <v>1200-1500</v>
      </c>
      <c r="BF16" s="5" t="str">
        <f t="shared" si="17"/>
        <v>&gt;2500</v>
      </c>
      <c r="BG16" s="5" t="str">
        <f t="shared" si="18"/>
        <v>SE</v>
      </c>
      <c r="BH16" s="5" t="str">
        <f t="shared" si="19"/>
        <v>60-80</v>
      </c>
      <c r="BI16" s="5" t="str">
        <f t="shared" si="20"/>
        <v>30-32</v>
      </c>
      <c r="BK16" s="5">
        <f t="shared" si="21"/>
        <v>1</v>
      </c>
      <c r="BL16" s="5">
        <f t="shared" si="22"/>
        <v>0</v>
      </c>
      <c r="BM16" s="5">
        <f t="shared" si="23"/>
        <v>1</v>
      </c>
      <c r="BN16" s="5">
        <f t="shared" si="24"/>
        <v>1</v>
      </c>
      <c r="BO16" s="5">
        <f t="shared" si="25"/>
        <v>0</v>
      </c>
      <c r="BP16" s="5">
        <f t="shared" si="26"/>
        <v>0</v>
      </c>
      <c r="BQ16" s="5">
        <f t="shared" si="27"/>
        <v>0</v>
      </c>
      <c r="BR16" s="5">
        <f t="shared" si="28"/>
        <v>0</v>
      </c>
      <c r="BS16" s="5">
        <f t="shared" si="29"/>
        <v>0</v>
      </c>
      <c r="BU16" s="18">
        <f t="shared" si="30"/>
        <v>22.524538672898053</v>
      </c>
      <c r="BV16" s="18">
        <f t="shared" si="31"/>
        <v>2.4511173757550146</v>
      </c>
      <c r="BW16" s="18">
        <f t="shared" si="32"/>
        <v>0.82111737575501476</v>
      </c>
      <c r="BX16" s="18">
        <f t="shared" si="33"/>
        <v>4.0811173757550145</v>
      </c>
      <c r="BY16" s="5">
        <f t="shared" si="34"/>
        <v>1</v>
      </c>
      <c r="CB16" s="18"/>
      <c r="CC16" s="18" t="str">
        <f>IF($BG16=CC$1,$AI16," ")</f>
        <v xml:space="preserve"> </v>
      </c>
    </row>
    <row r="17" spans="1:81" s="5" customFormat="1" ht="8.25" x14ac:dyDescent="0.15">
      <c r="A17" s="1" t="s">
        <v>29</v>
      </c>
      <c r="B17" s="2" t="s">
        <v>30</v>
      </c>
      <c r="C17" s="1" t="s">
        <v>31</v>
      </c>
      <c r="D17" s="6">
        <v>2</v>
      </c>
      <c r="E17" s="7">
        <v>170</v>
      </c>
      <c r="F17" s="8">
        <f t="shared" si="36"/>
        <v>5</v>
      </c>
      <c r="G17" s="3">
        <v>1995</v>
      </c>
      <c r="H17" s="7">
        <v>1700</v>
      </c>
      <c r="I17" s="7">
        <v>388</v>
      </c>
      <c r="J17" s="3">
        <v>173</v>
      </c>
      <c r="K17" s="85">
        <f t="shared" si="0"/>
        <v>30.029401761514666</v>
      </c>
      <c r="L17" s="11">
        <f t="shared" si="1"/>
        <v>11.446</v>
      </c>
      <c r="M17" s="10">
        <f t="shared" si="2"/>
        <v>4</v>
      </c>
      <c r="N17" s="4">
        <v>2152</v>
      </c>
      <c r="O17" s="90">
        <f t="shared" si="3"/>
        <v>72.142138786456584</v>
      </c>
      <c r="P17" s="4">
        <v>1</v>
      </c>
      <c r="Q17" s="4">
        <v>890</v>
      </c>
      <c r="R17" s="4">
        <v>323</v>
      </c>
      <c r="S17" s="4">
        <v>838</v>
      </c>
      <c r="T17" s="85">
        <f>DEGREES(ATAN((Q17-S17)/R17))</f>
        <v>9.1456150946214425</v>
      </c>
      <c r="U17" s="19"/>
      <c r="V17" s="19"/>
      <c r="W17" s="19"/>
      <c r="X17" s="10"/>
      <c r="Y17" s="14">
        <v>838</v>
      </c>
      <c r="Z17" s="12">
        <v>323</v>
      </c>
      <c r="AA17" s="4"/>
      <c r="AB17" s="4"/>
      <c r="AC17" s="86">
        <v>9.1456150946214425</v>
      </c>
      <c r="AD17" s="13">
        <v>2983</v>
      </c>
      <c r="AE17" s="64">
        <f>0.0001*2</f>
        <v>2.0000000000000001E-4</v>
      </c>
      <c r="AF17" s="12">
        <v>1157</v>
      </c>
      <c r="AG17" s="11">
        <f t="shared" si="4"/>
        <v>21.199508354687946</v>
      </c>
      <c r="AH17" s="11">
        <f t="shared" si="5"/>
        <v>22.558659705450751</v>
      </c>
      <c r="AI17" s="15"/>
      <c r="AJ17" s="4"/>
      <c r="AK17" s="4"/>
      <c r="AL17" s="75"/>
      <c r="AM17" s="75"/>
      <c r="AN17" s="16"/>
      <c r="AO17" s="4">
        <v>4</v>
      </c>
      <c r="AP17" s="13">
        <v>1</v>
      </c>
      <c r="AQ17" s="71">
        <f t="shared" si="6"/>
        <v>1</v>
      </c>
      <c r="AT17" s="18">
        <f t="shared" si="7"/>
        <v>22.558659705450751</v>
      </c>
      <c r="AU17" s="18">
        <f t="shared" si="8"/>
        <v>21.199508354687946</v>
      </c>
      <c r="AV17" s="18">
        <f t="shared" si="9"/>
        <v>1.3591513507628044</v>
      </c>
      <c r="AX17" s="18">
        <f t="shared" si="10"/>
        <v>19.647167973197078</v>
      </c>
      <c r="AY17" s="18">
        <f t="shared" si="11"/>
        <v>1.5523403814908683</v>
      </c>
      <c r="BA17" s="17">
        <f t="shared" si="12"/>
        <v>1105</v>
      </c>
      <c r="BB17" s="17">
        <f t="shared" si="13"/>
        <v>2660</v>
      </c>
      <c r="BC17" s="5" t="str">
        <f t="shared" si="14"/>
        <v>30-35</v>
      </c>
      <c r="BD17" s="5" t="str">
        <f t="shared" si="15"/>
        <v>2EXP-4-4EXP-4</v>
      </c>
      <c r="BE17" s="5" t="str">
        <f t="shared" si="16"/>
        <v>900-1200</v>
      </c>
      <c r="BF17" s="5" t="str">
        <f t="shared" si="17"/>
        <v>&gt;2500</v>
      </c>
      <c r="BG17" s="5" t="str">
        <f t="shared" si="18"/>
        <v>SE</v>
      </c>
      <c r="BH17" s="5" t="str">
        <f t="shared" si="19"/>
        <v>60-80</v>
      </c>
      <c r="BI17" s="5" t="str">
        <f t="shared" si="20"/>
        <v>30-32</v>
      </c>
      <c r="BK17" s="5">
        <f t="shared" si="21"/>
        <v>0</v>
      </c>
      <c r="BL17" s="5">
        <f t="shared" si="22"/>
        <v>0</v>
      </c>
      <c r="BM17" s="5">
        <f t="shared" si="23"/>
        <v>1</v>
      </c>
      <c r="BN17" s="5">
        <f t="shared" si="24"/>
        <v>0</v>
      </c>
      <c r="BO17" s="5">
        <f t="shared" si="25"/>
        <v>0</v>
      </c>
      <c r="BP17" s="5">
        <f t="shared" si="26"/>
        <v>0</v>
      </c>
      <c r="BQ17" s="5">
        <f t="shared" si="27"/>
        <v>0</v>
      </c>
      <c r="BR17" s="5">
        <f t="shared" si="28"/>
        <v>0</v>
      </c>
      <c r="BS17" s="5">
        <f t="shared" si="29"/>
        <v>0</v>
      </c>
      <c r="BU17" s="18">
        <f t="shared" si="30"/>
        <v>20.562756341381579</v>
      </c>
      <c r="BV17" s="18">
        <f t="shared" si="31"/>
        <v>0.6367520133063671</v>
      </c>
      <c r="BW17" s="18">
        <f t="shared" si="32"/>
        <v>-0.99324798669363279</v>
      </c>
      <c r="BX17" s="18">
        <f t="shared" si="33"/>
        <v>2.266752013306367</v>
      </c>
      <c r="BY17" s="5" t="str">
        <f t="shared" si="34"/>
        <v/>
      </c>
      <c r="CB17" s="18"/>
      <c r="CC17" s="18" t="str">
        <f>IF($BG17=CC$1,$AI17," ")</f>
        <v xml:space="preserve"> </v>
      </c>
    </row>
    <row r="18" spans="1:81" s="5" customFormat="1" ht="8.25" x14ac:dyDescent="0.15">
      <c r="A18" s="1" t="s">
        <v>32</v>
      </c>
      <c r="B18" s="2" t="s">
        <v>33</v>
      </c>
      <c r="C18" s="1" t="s">
        <v>34</v>
      </c>
      <c r="D18" s="6">
        <v>2</v>
      </c>
      <c r="E18" s="7">
        <v>330</v>
      </c>
      <c r="F18" s="8">
        <f t="shared" si="36"/>
        <v>8</v>
      </c>
      <c r="G18" s="3">
        <v>1990</v>
      </c>
      <c r="H18" s="7">
        <v>1750</v>
      </c>
      <c r="I18" s="7">
        <v>200</v>
      </c>
      <c r="J18" s="3">
        <v>212</v>
      </c>
      <c r="K18" s="85">
        <f t="shared" si="0"/>
        <v>25.253163394573882</v>
      </c>
      <c r="L18" s="11">
        <f t="shared" si="1"/>
        <v>4.8</v>
      </c>
      <c r="M18" s="10">
        <f t="shared" si="2"/>
        <v>3</v>
      </c>
      <c r="N18" s="4">
        <v>1035</v>
      </c>
      <c r="O18" s="90">
        <f t="shared" si="3"/>
        <v>49.711815561959654</v>
      </c>
      <c r="P18" s="4">
        <v>1</v>
      </c>
      <c r="Q18" s="4">
        <v>1130</v>
      </c>
      <c r="R18" s="4">
        <v>148</v>
      </c>
      <c r="S18" s="4">
        <v>1106</v>
      </c>
      <c r="T18" s="85">
        <f>DEGREES(ATAN((Q18-S18)/R18))</f>
        <v>9.2110265408166683</v>
      </c>
      <c r="U18" s="19"/>
      <c r="V18" s="19"/>
      <c r="W18" s="19"/>
      <c r="X18" s="10"/>
      <c r="Y18" s="14">
        <v>1106</v>
      </c>
      <c r="Z18" s="12">
        <v>148</v>
      </c>
      <c r="AA18" s="4"/>
      <c r="AB18" s="4"/>
      <c r="AC18" s="86">
        <v>9.2110265408166683</v>
      </c>
      <c r="AD18" s="13">
        <v>2082</v>
      </c>
      <c r="AE18" s="64">
        <f>0.00006*2</f>
        <v>1.2E-4</v>
      </c>
      <c r="AF18" s="12">
        <v>884</v>
      </c>
      <c r="AG18" s="11">
        <f t="shared" si="4"/>
        <v>23.005676160115154</v>
      </c>
      <c r="AH18" s="11">
        <f t="shared" si="5"/>
        <v>23.973483079693771</v>
      </c>
      <c r="AI18" s="15"/>
      <c r="AJ18" s="4"/>
      <c r="AK18" s="4"/>
      <c r="AL18" s="75"/>
      <c r="AM18" s="75"/>
      <c r="AN18" s="16"/>
      <c r="AO18" s="4">
        <v>4</v>
      </c>
      <c r="AP18" s="13">
        <v>1</v>
      </c>
      <c r="AQ18" s="71">
        <f t="shared" si="6"/>
        <v>1</v>
      </c>
      <c r="AT18" s="18">
        <f t="shared" si="7"/>
        <v>23.973483079693771</v>
      </c>
      <c r="AU18" s="18">
        <f t="shared" si="8"/>
        <v>23.005676160115154</v>
      </c>
      <c r="AV18" s="18">
        <f t="shared" si="9"/>
        <v>0.9678069195786172</v>
      </c>
      <c r="AX18" s="18">
        <f t="shared" si="10"/>
        <v>22.287581971364204</v>
      </c>
      <c r="AY18" s="18">
        <f t="shared" si="11"/>
        <v>0.71809418875094977</v>
      </c>
      <c r="BA18" s="17">
        <f t="shared" si="12"/>
        <v>860</v>
      </c>
      <c r="BB18" s="17">
        <f t="shared" si="13"/>
        <v>1934</v>
      </c>
      <c r="BC18" s="5" t="str">
        <f t="shared" si="14"/>
        <v>25-30</v>
      </c>
      <c r="BD18" s="5" t="str">
        <f t="shared" si="15"/>
        <v>&lt;2EXP-4</v>
      </c>
      <c r="BE18" s="5" t="str">
        <f t="shared" si="16"/>
        <v>600-900</v>
      </c>
      <c r="BF18" s="5" t="str">
        <f t="shared" si="17"/>
        <v>2000-2500</v>
      </c>
      <c r="BG18" s="5" t="str">
        <f t="shared" si="18"/>
        <v>NW</v>
      </c>
      <c r="BH18" s="5" t="str">
        <f t="shared" si="19"/>
        <v>40-60</v>
      </c>
      <c r="BI18" s="5" t="str">
        <f t="shared" si="20"/>
        <v>25-30</v>
      </c>
      <c r="BK18" s="5">
        <f t="shared" si="21"/>
        <v>0</v>
      </c>
      <c r="BL18" s="5">
        <f t="shared" si="22"/>
        <v>0</v>
      </c>
      <c r="BM18" s="5">
        <f t="shared" si="23"/>
        <v>1</v>
      </c>
      <c r="BN18" s="5">
        <f t="shared" si="24"/>
        <v>1</v>
      </c>
      <c r="BO18" s="5">
        <f t="shared" si="25"/>
        <v>0</v>
      </c>
      <c r="BP18" s="5">
        <f t="shared" si="26"/>
        <v>0</v>
      </c>
      <c r="BQ18" s="5">
        <f t="shared" si="27"/>
        <v>1</v>
      </c>
      <c r="BR18" s="5">
        <f t="shared" si="28"/>
        <v>1</v>
      </c>
      <c r="BS18" s="5">
        <f t="shared" si="29"/>
        <v>0</v>
      </c>
      <c r="BU18" s="18">
        <f t="shared" si="30"/>
        <v>22.279179047613834</v>
      </c>
      <c r="BV18" s="18">
        <f t="shared" si="31"/>
        <v>0.72649711250132043</v>
      </c>
      <c r="BW18" s="18">
        <f t="shared" si="32"/>
        <v>-0.90350288749867946</v>
      </c>
      <c r="BX18" s="18">
        <f t="shared" si="33"/>
        <v>2.3564971125013203</v>
      </c>
      <c r="BY18" s="5" t="str">
        <f t="shared" si="34"/>
        <v/>
      </c>
      <c r="CB18" s="18"/>
      <c r="CC18" s="18"/>
    </row>
    <row r="19" spans="1:81" s="5" customFormat="1" ht="8.25" x14ac:dyDescent="0.15">
      <c r="A19" s="68" t="s">
        <v>35</v>
      </c>
      <c r="B19" s="2" t="s">
        <v>36</v>
      </c>
      <c r="C19" s="1" t="s">
        <v>37</v>
      </c>
      <c r="D19" s="6">
        <v>2</v>
      </c>
      <c r="E19" s="7">
        <v>330</v>
      </c>
      <c r="F19" s="8">
        <f t="shared" si="36"/>
        <v>8</v>
      </c>
      <c r="G19" s="3">
        <v>2195</v>
      </c>
      <c r="H19" s="7">
        <v>2050</v>
      </c>
      <c r="I19" s="7">
        <v>530</v>
      </c>
      <c r="J19" s="3">
        <v>136</v>
      </c>
      <c r="K19" s="85">
        <f t="shared" si="0"/>
        <v>36.326825952120238</v>
      </c>
      <c r="L19" s="11">
        <f t="shared" si="1"/>
        <v>7.6849999999999996</v>
      </c>
      <c r="M19" s="10">
        <f t="shared" si="2"/>
        <v>4</v>
      </c>
      <c r="N19" s="4">
        <v>1348</v>
      </c>
      <c r="O19" s="90">
        <f t="shared" si="3"/>
        <v>55.245901639344261</v>
      </c>
      <c r="P19" s="4">
        <v>1</v>
      </c>
      <c r="Q19" s="4">
        <v>1065</v>
      </c>
      <c r="R19" s="4"/>
      <c r="S19" s="4">
        <v>1085</v>
      </c>
      <c r="T19" s="85"/>
      <c r="U19" s="4">
        <v>87</v>
      </c>
      <c r="V19" s="4"/>
      <c r="W19" s="4"/>
      <c r="X19" s="10"/>
      <c r="Y19" s="14">
        <v>1085</v>
      </c>
      <c r="Z19" s="12">
        <v>-87</v>
      </c>
      <c r="AA19" s="4">
        <v>64</v>
      </c>
      <c r="AB19" s="4">
        <v>15</v>
      </c>
      <c r="AC19" s="86">
        <f>DEGREES(ATAN((AB19)/AA19))</f>
        <v>13.190610712206849</v>
      </c>
      <c r="AD19" s="13">
        <v>2440</v>
      </c>
      <c r="AE19" s="64">
        <f>0.0001*2</f>
        <v>2.0000000000000001E-4</v>
      </c>
      <c r="AF19" s="12">
        <v>1110</v>
      </c>
      <c r="AG19" s="11">
        <f t="shared" si="4"/>
        <v>24.461644122093791</v>
      </c>
      <c r="AH19" s="11">
        <f t="shared" si="5"/>
        <v>24.092787628648352</v>
      </c>
      <c r="AI19" s="16"/>
      <c r="AJ19" s="4"/>
      <c r="AK19" s="4"/>
      <c r="AL19" s="75"/>
      <c r="AM19" s="75"/>
      <c r="AN19" s="16"/>
      <c r="AO19" s="4">
        <v>4</v>
      </c>
      <c r="AP19" s="13">
        <v>1</v>
      </c>
      <c r="AQ19" s="71">
        <f t="shared" si="6"/>
        <v>1</v>
      </c>
      <c r="AT19" s="18">
        <f t="shared" si="7"/>
        <v>24.092787628648352</v>
      </c>
      <c r="AU19" s="18">
        <f t="shared" si="8"/>
        <v>24.461644122093791</v>
      </c>
      <c r="AV19" s="18">
        <f t="shared" si="9"/>
        <v>-0.36885649344543836</v>
      </c>
      <c r="AX19" s="18">
        <f t="shared" si="10"/>
        <v>21.371446474059233</v>
      </c>
      <c r="AY19" s="18">
        <f t="shared" si="11"/>
        <v>3.0901976480345574</v>
      </c>
      <c r="BA19" s="17">
        <f t="shared" si="12"/>
        <v>1130</v>
      </c>
      <c r="BB19" s="17">
        <f t="shared" si="13"/>
        <v>2527</v>
      </c>
      <c r="BC19" s="5" t="str">
        <f t="shared" si="14"/>
        <v>35-40</v>
      </c>
      <c r="BD19" s="5" t="str">
        <f t="shared" si="15"/>
        <v>2EXP-4-4EXP-4</v>
      </c>
      <c r="BE19" s="5" t="str">
        <f t="shared" si="16"/>
        <v>900-1200</v>
      </c>
      <c r="BF19" s="5" t="str">
        <f t="shared" si="17"/>
        <v>2000-2500</v>
      </c>
      <c r="BG19" s="5" t="str">
        <f t="shared" si="18"/>
        <v>NW</v>
      </c>
      <c r="BH19" s="5" t="str">
        <f t="shared" si="19"/>
        <v>40-60</v>
      </c>
      <c r="BI19" s="5" t="str">
        <f t="shared" si="20"/>
        <v>36-38</v>
      </c>
      <c r="BK19" s="5">
        <f t="shared" si="21"/>
        <v>1</v>
      </c>
      <c r="BL19" s="5">
        <f t="shared" si="22"/>
        <v>0</v>
      </c>
      <c r="BM19" s="5">
        <f t="shared" si="23"/>
        <v>1</v>
      </c>
      <c r="BN19" s="5">
        <f t="shared" si="24"/>
        <v>0</v>
      </c>
      <c r="BO19" s="5">
        <f t="shared" si="25"/>
        <v>0</v>
      </c>
      <c r="BP19" s="5">
        <f t="shared" si="26"/>
        <v>0</v>
      </c>
      <c r="BQ19" s="5">
        <f t="shared" si="27"/>
        <v>1</v>
      </c>
      <c r="BR19" s="5">
        <f t="shared" si="28"/>
        <v>1</v>
      </c>
      <c r="BS19" s="5">
        <f t="shared" si="29"/>
        <v>0</v>
      </c>
      <c r="BU19" s="18">
        <f t="shared" si="30"/>
        <v>22.355246411049549</v>
      </c>
      <c r="BV19" s="18">
        <f t="shared" si="31"/>
        <v>2.1063977110442416</v>
      </c>
      <c r="BW19" s="18">
        <f t="shared" si="32"/>
        <v>0.47639771104424167</v>
      </c>
      <c r="BX19" s="18">
        <f t="shared" si="33"/>
        <v>3.7363977110442415</v>
      </c>
      <c r="BY19" s="5">
        <f t="shared" si="34"/>
        <v>1</v>
      </c>
      <c r="CB19" s="18"/>
      <c r="CC19" s="18"/>
    </row>
    <row r="20" spans="1:81" s="5" customFormat="1" ht="8.25" x14ac:dyDescent="0.15">
      <c r="A20" s="1" t="s">
        <v>38</v>
      </c>
      <c r="B20" s="2" t="s">
        <v>39</v>
      </c>
      <c r="C20" s="1" t="s">
        <v>40</v>
      </c>
      <c r="D20" s="6">
        <v>2</v>
      </c>
      <c r="E20" s="7">
        <v>185</v>
      </c>
      <c r="F20" s="8">
        <f t="shared" si="36"/>
        <v>5</v>
      </c>
      <c r="G20" s="3">
        <v>2155</v>
      </c>
      <c r="H20" s="7">
        <v>1850</v>
      </c>
      <c r="I20" s="7">
        <v>383</v>
      </c>
      <c r="J20" s="3">
        <v>140</v>
      </c>
      <c r="K20" s="85">
        <f t="shared" si="0"/>
        <v>35.537677791974382</v>
      </c>
      <c r="L20" s="11">
        <f t="shared" si="1"/>
        <v>11.6815</v>
      </c>
      <c r="M20" s="10">
        <f t="shared" si="2"/>
        <v>4</v>
      </c>
      <c r="N20" s="4">
        <v>1220</v>
      </c>
      <c r="O20" s="90">
        <f t="shared" si="3"/>
        <v>54.150022192632044</v>
      </c>
      <c r="P20" s="4">
        <v>1</v>
      </c>
      <c r="Q20" s="4">
        <v>1175</v>
      </c>
      <c r="R20" s="4">
        <v>379</v>
      </c>
      <c r="S20" s="4">
        <v>1145</v>
      </c>
      <c r="T20" s="85">
        <f>DEGREES(ATAN((Q20-S20)/R20))</f>
        <v>4.5258493009548877</v>
      </c>
      <c r="U20" s="19"/>
      <c r="V20" s="19"/>
      <c r="W20" s="19"/>
      <c r="X20" s="10"/>
      <c r="Y20" s="14">
        <v>1145</v>
      </c>
      <c r="Z20" s="12">
        <v>379</v>
      </c>
      <c r="AA20" s="4"/>
      <c r="AB20" s="4"/>
      <c r="AC20" s="86">
        <v>4.5258493009548877</v>
      </c>
      <c r="AD20" s="13">
        <v>2253</v>
      </c>
      <c r="AE20" s="64">
        <f>0.0002*2</f>
        <v>4.0000000000000002E-4</v>
      </c>
      <c r="AF20" s="12">
        <v>1010</v>
      </c>
      <c r="AG20" s="11">
        <f t="shared" si="4"/>
        <v>24.146272149921824</v>
      </c>
      <c r="AH20" s="11">
        <f t="shared" si="5"/>
        <v>27.60711837636908</v>
      </c>
      <c r="AI20" s="15"/>
      <c r="AJ20" s="4"/>
      <c r="AK20" s="4"/>
      <c r="AL20" s="75"/>
      <c r="AM20" s="75"/>
      <c r="AN20" s="16"/>
      <c r="AO20" s="4">
        <v>4</v>
      </c>
      <c r="AP20" s="13">
        <v>1</v>
      </c>
      <c r="AQ20" s="71">
        <f t="shared" si="6"/>
        <v>1</v>
      </c>
      <c r="AT20" s="18">
        <f t="shared" si="7"/>
        <v>27.60711837636908</v>
      </c>
      <c r="AU20" s="18">
        <f t="shared" si="8"/>
        <v>24.146272149921824</v>
      </c>
      <c r="AV20" s="18">
        <f t="shared" si="9"/>
        <v>3.4608462264472557</v>
      </c>
      <c r="AX20" s="18">
        <f t="shared" si="10"/>
        <v>24.26448114980419</v>
      </c>
      <c r="AY20" s="18">
        <f t="shared" si="11"/>
        <v>-0.11820899988236633</v>
      </c>
      <c r="BA20" s="17">
        <f t="shared" si="12"/>
        <v>980</v>
      </c>
      <c r="BB20" s="17">
        <f t="shared" si="13"/>
        <v>1874</v>
      </c>
      <c r="BC20" s="5" t="str">
        <f t="shared" si="14"/>
        <v>35-40</v>
      </c>
      <c r="BD20" s="5" t="str">
        <f t="shared" si="15"/>
        <v>4EXP-4-6EXP-4</v>
      </c>
      <c r="BE20" s="5" t="str">
        <f t="shared" si="16"/>
        <v>900-1200</v>
      </c>
      <c r="BF20" s="5" t="str">
        <f t="shared" si="17"/>
        <v>2000-2500</v>
      </c>
      <c r="BG20" s="5" t="str">
        <f t="shared" si="18"/>
        <v>SE</v>
      </c>
      <c r="BH20" s="5" t="str">
        <f t="shared" si="19"/>
        <v>40-60</v>
      </c>
      <c r="BI20" s="5" t="str">
        <f t="shared" si="20"/>
        <v>34-36</v>
      </c>
      <c r="BK20" s="5">
        <f t="shared" si="21"/>
        <v>1</v>
      </c>
      <c r="BL20" s="5">
        <f t="shared" si="22"/>
        <v>0</v>
      </c>
      <c r="BM20" s="5">
        <f t="shared" si="23"/>
        <v>1</v>
      </c>
      <c r="BN20" s="5">
        <f t="shared" si="24"/>
        <v>1</v>
      </c>
      <c r="BO20" s="5">
        <f t="shared" si="25"/>
        <v>0</v>
      </c>
      <c r="BP20" s="5">
        <f t="shared" si="26"/>
        <v>0</v>
      </c>
      <c r="BQ20" s="5">
        <f t="shared" si="27"/>
        <v>0</v>
      </c>
      <c r="BR20" s="5">
        <f t="shared" si="28"/>
        <v>1</v>
      </c>
      <c r="BS20" s="5">
        <f t="shared" si="29"/>
        <v>0</v>
      </c>
      <c r="BU20" s="18">
        <f t="shared" si="30"/>
        <v>24.343787225119879</v>
      </c>
      <c r="BV20" s="18">
        <f t="shared" si="31"/>
        <v>-0.197515075198055</v>
      </c>
      <c r="BW20" s="18">
        <f t="shared" si="32"/>
        <v>-1.8275150751980549</v>
      </c>
      <c r="BX20" s="18">
        <f t="shared" si="33"/>
        <v>1.4324849248019449</v>
      </c>
      <c r="BY20" s="5" t="str">
        <f t="shared" si="34"/>
        <v/>
      </c>
      <c r="CB20" s="18"/>
      <c r="CC20" s="18"/>
    </row>
    <row r="21" spans="1:81" s="5" customFormat="1" ht="8.25" x14ac:dyDescent="0.15">
      <c r="A21" s="1" t="s">
        <v>43</v>
      </c>
      <c r="B21" s="2" t="s">
        <v>41</v>
      </c>
      <c r="C21" s="1" t="s">
        <v>42</v>
      </c>
      <c r="D21" s="6">
        <v>1</v>
      </c>
      <c r="E21" s="3">
        <v>160</v>
      </c>
      <c r="F21" s="8">
        <f t="shared" si="36"/>
        <v>5</v>
      </c>
      <c r="G21" s="3">
        <v>2230</v>
      </c>
      <c r="H21" s="3">
        <v>1550</v>
      </c>
      <c r="I21" s="3">
        <v>362</v>
      </c>
      <c r="J21" s="3">
        <v>145</v>
      </c>
      <c r="K21" s="85">
        <f t="shared" si="0"/>
        <v>34.592288687509949</v>
      </c>
      <c r="L21" s="11">
        <f t="shared" si="1"/>
        <v>24.616</v>
      </c>
      <c r="M21" s="10">
        <f t="shared" si="2"/>
        <v>4</v>
      </c>
      <c r="N21" s="4">
        <v>1453</v>
      </c>
      <c r="O21" s="90">
        <f t="shared" si="3"/>
        <v>74.589322381930188</v>
      </c>
      <c r="P21" s="4">
        <v>1</v>
      </c>
      <c r="Q21" s="4">
        <v>1150</v>
      </c>
      <c r="R21" s="4">
        <v>465</v>
      </c>
      <c r="S21" s="4">
        <v>1050</v>
      </c>
      <c r="T21" s="85">
        <f>DEGREES(ATAN((Q21-S21)/R21))</f>
        <v>12.136824455292272</v>
      </c>
      <c r="U21" s="4"/>
      <c r="V21" s="4"/>
      <c r="W21" s="4"/>
      <c r="X21" s="10"/>
      <c r="Y21" s="14">
        <v>1050</v>
      </c>
      <c r="Z21" s="12">
        <v>465</v>
      </c>
      <c r="AA21" s="4"/>
      <c r="AB21" s="4"/>
      <c r="AC21" s="86">
        <v>12.136824455292272</v>
      </c>
      <c r="AD21" s="13">
        <v>1948</v>
      </c>
      <c r="AE21" s="64">
        <f>0.0001*2</f>
        <v>2.0000000000000001E-4</v>
      </c>
      <c r="AF21" s="12">
        <v>1180</v>
      </c>
      <c r="AG21" s="11">
        <f t="shared" si="4"/>
        <v>31.205363808785872</v>
      </c>
      <c r="AH21" s="11">
        <f t="shared" si="5"/>
        <v>36.064111747087054</v>
      </c>
      <c r="AI21" s="15">
        <v>0</v>
      </c>
      <c r="AJ21" s="4">
        <v>0</v>
      </c>
      <c r="AK21" s="4">
        <f>AD21</f>
        <v>1948</v>
      </c>
      <c r="AL21" s="75">
        <f>(AJ21/AD21)*100</f>
        <v>0</v>
      </c>
      <c r="AM21" s="75">
        <f>(AK21/AD21)*100</f>
        <v>100</v>
      </c>
      <c r="AN21" s="18" t="s">
        <v>44</v>
      </c>
      <c r="AO21" s="4">
        <v>4</v>
      </c>
      <c r="AP21" s="13">
        <v>1</v>
      </c>
      <c r="AQ21" s="71">
        <f t="shared" si="6"/>
        <v>1</v>
      </c>
      <c r="AT21" s="18">
        <f t="shared" si="7"/>
        <v>36.064111747087054</v>
      </c>
      <c r="AU21" s="18">
        <f t="shared" si="8"/>
        <v>31.205363808785872</v>
      </c>
      <c r="AV21" s="18">
        <f t="shared" si="9"/>
        <v>4.8587479383011818</v>
      </c>
      <c r="AX21" s="18">
        <f t="shared" si="10"/>
        <v>31.081366045257031</v>
      </c>
      <c r="AY21" s="18">
        <f t="shared" si="11"/>
        <v>0.12399776352884118</v>
      </c>
      <c r="BA21" s="17">
        <f t="shared" si="12"/>
        <v>1080</v>
      </c>
      <c r="BB21" s="17">
        <f t="shared" si="13"/>
        <v>1483</v>
      </c>
      <c r="BC21" s="5" t="str">
        <f t="shared" si="14"/>
        <v>30-35</v>
      </c>
      <c r="BD21" s="5" t="str">
        <f t="shared" si="15"/>
        <v>2EXP-4-4EXP-4</v>
      </c>
      <c r="BE21" s="5" t="str">
        <f t="shared" si="16"/>
        <v>900-1200</v>
      </c>
      <c r="BF21" s="5" t="str">
        <f t="shared" si="17"/>
        <v>1500-2000</v>
      </c>
      <c r="BG21" s="5" t="str">
        <f t="shared" si="18"/>
        <v>SE</v>
      </c>
      <c r="BH21" s="5" t="str">
        <f t="shared" si="19"/>
        <v>60-80</v>
      </c>
      <c r="BI21" s="5" t="str">
        <f t="shared" si="20"/>
        <v>34-36</v>
      </c>
      <c r="BK21" s="5">
        <f t="shared" si="21"/>
        <v>1</v>
      </c>
      <c r="BL21" s="5">
        <f t="shared" si="22"/>
        <v>0</v>
      </c>
      <c r="BM21" s="5">
        <f t="shared" si="23"/>
        <v>1</v>
      </c>
      <c r="BN21" s="5">
        <f t="shared" si="24"/>
        <v>1</v>
      </c>
      <c r="BO21" s="5">
        <f t="shared" si="25"/>
        <v>0</v>
      </c>
      <c r="BP21" s="5">
        <f t="shared" si="26"/>
        <v>0</v>
      </c>
      <c r="BQ21" s="5">
        <f t="shared" si="27"/>
        <v>0</v>
      </c>
      <c r="BR21" s="5">
        <f t="shared" si="28"/>
        <v>0</v>
      </c>
      <c r="BS21" s="5">
        <f t="shared" si="29"/>
        <v>0</v>
      </c>
      <c r="BU21" s="18">
        <f t="shared" si="30"/>
        <v>30.658027557920978</v>
      </c>
      <c r="BV21" s="18">
        <f t="shared" si="31"/>
        <v>0.54733625086489468</v>
      </c>
      <c r="BW21" s="18">
        <f t="shared" si="32"/>
        <v>-1.0826637491351052</v>
      </c>
      <c r="BX21" s="18">
        <f t="shared" si="33"/>
        <v>2.1773362508648946</v>
      </c>
      <c r="BY21" s="5" t="str">
        <f t="shared" si="34"/>
        <v/>
      </c>
      <c r="CB21" s="18">
        <f>IF($BG21=CB$1,$AI21," ")</f>
        <v>0</v>
      </c>
      <c r="CC21" s="18" t="str">
        <f>IF($BG21=CC$1,$AI21," ")</f>
        <v xml:space="preserve"> </v>
      </c>
    </row>
    <row r="22" spans="1:81" s="5" customFormat="1" ht="8.25" x14ac:dyDescent="0.15">
      <c r="A22" s="77" t="s">
        <v>273</v>
      </c>
      <c r="B22" s="2" t="str">
        <f>MID(A22,1,6)</f>
        <v>GAR144</v>
      </c>
      <c r="C22" s="1" t="s">
        <v>274</v>
      </c>
      <c r="D22" s="6">
        <v>2</v>
      </c>
      <c r="E22" s="7">
        <v>170</v>
      </c>
      <c r="F22" s="8">
        <f t="shared" si="36"/>
        <v>5</v>
      </c>
      <c r="G22" s="3">
        <v>1920</v>
      </c>
      <c r="H22" s="58">
        <v>1704</v>
      </c>
      <c r="I22" s="58">
        <v>258</v>
      </c>
      <c r="J22" s="45">
        <v>154</v>
      </c>
      <c r="K22" s="85">
        <f t="shared" si="0"/>
        <v>32.99770510121629</v>
      </c>
      <c r="L22" s="11">
        <f t="shared" si="1"/>
        <v>5.5728</v>
      </c>
      <c r="M22" s="10">
        <f t="shared" si="2"/>
        <v>3</v>
      </c>
      <c r="N22" s="4">
        <v>803</v>
      </c>
      <c r="O22" s="90">
        <f t="shared" si="3"/>
        <v>52.72488509520683</v>
      </c>
      <c r="P22" s="4">
        <v>3</v>
      </c>
      <c r="Q22" s="4">
        <v>1039</v>
      </c>
      <c r="R22" s="4"/>
      <c r="S22" s="4">
        <v>1039</v>
      </c>
      <c r="T22" s="85"/>
      <c r="U22" s="4"/>
      <c r="V22" s="4">
        <v>132</v>
      </c>
      <c r="W22" s="4">
        <v>1050</v>
      </c>
      <c r="X22" s="10">
        <f>DEGREES(ATAN((W22-S22)/V22))</f>
        <v>4.7636416907261774</v>
      </c>
      <c r="Y22" s="14">
        <v>1050</v>
      </c>
      <c r="Z22" s="12">
        <f>R22+V22-U22</f>
        <v>132</v>
      </c>
      <c r="AA22" s="46"/>
      <c r="AB22" s="46"/>
      <c r="AC22" s="85"/>
      <c r="AD22" s="13">
        <v>1523</v>
      </c>
      <c r="AE22" s="3">
        <f>1*(POWER(10,-4))*2</f>
        <v>2.0000000000000001E-4</v>
      </c>
      <c r="AF22" s="12">
        <f>G22-S22</f>
        <v>881</v>
      </c>
      <c r="AG22" s="11">
        <f t="shared" si="4"/>
        <v>30.047817033365476</v>
      </c>
      <c r="AH22" s="50">
        <f t="shared" si="5"/>
        <v>32.34842343375778</v>
      </c>
      <c r="AI22" s="54">
        <v>0</v>
      </c>
      <c r="AJ22" s="4">
        <v>0</v>
      </c>
      <c r="AK22" s="4">
        <v>0</v>
      </c>
      <c r="AL22" s="75">
        <f>(AJ22/AD22)*100</f>
        <v>0</v>
      </c>
      <c r="AM22" s="75">
        <f>(AK22/AD22)*100</f>
        <v>0</v>
      </c>
      <c r="AN22" s="16" t="s">
        <v>275</v>
      </c>
      <c r="AO22" s="4">
        <v>4</v>
      </c>
      <c r="AP22" s="13">
        <v>1</v>
      </c>
      <c r="AQ22" s="71">
        <f t="shared" si="6"/>
        <v>1</v>
      </c>
      <c r="AR22" s="47"/>
      <c r="AS22" s="47"/>
      <c r="AT22" s="18">
        <f t="shared" si="7"/>
        <v>32.34842343375778</v>
      </c>
      <c r="AU22" s="18">
        <f t="shared" si="8"/>
        <v>30.047817033365476</v>
      </c>
      <c r="AV22" s="18">
        <f t="shared" si="9"/>
        <v>2.3006064003923044</v>
      </c>
      <c r="AW22" s="47"/>
      <c r="AX22" s="18">
        <f t="shared" si="10"/>
        <v>29.295286043993492</v>
      </c>
      <c r="AY22" s="18">
        <f t="shared" si="11"/>
        <v>0.75253098937198359</v>
      </c>
      <c r="AZ22" s="47"/>
      <c r="BA22" s="17">
        <f t="shared" si="12"/>
        <v>881</v>
      </c>
      <c r="BB22" s="17">
        <f t="shared" si="13"/>
        <v>1391</v>
      </c>
      <c r="BC22" s="5" t="str">
        <f t="shared" si="14"/>
        <v>30-35</v>
      </c>
      <c r="BD22" s="5" t="str">
        <f t="shared" si="15"/>
        <v>2EXP-4-4EXP-4</v>
      </c>
      <c r="BE22" s="5" t="str">
        <f t="shared" si="16"/>
        <v>600-900</v>
      </c>
      <c r="BF22" s="5" t="str">
        <f t="shared" si="17"/>
        <v>1500-2000</v>
      </c>
      <c r="BG22" s="5" t="str">
        <f t="shared" si="18"/>
        <v>SE</v>
      </c>
      <c r="BH22" s="5" t="str">
        <f t="shared" si="19"/>
        <v>40-60</v>
      </c>
      <c r="BI22" s="5" t="str">
        <f t="shared" si="20"/>
        <v>30-32</v>
      </c>
      <c r="BJ22" s="47"/>
      <c r="BK22" s="5">
        <f t="shared" si="21"/>
        <v>1</v>
      </c>
      <c r="BL22" s="5">
        <f t="shared" si="22"/>
        <v>0</v>
      </c>
      <c r="BM22" s="5">
        <f t="shared" si="23"/>
        <v>1</v>
      </c>
      <c r="BN22" s="5">
        <f t="shared" si="24"/>
        <v>1</v>
      </c>
      <c r="BO22" s="5">
        <f t="shared" si="25"/>
        <v>1</v>
      </c>
      <c r="BP22" s="5">
        <f t="shared" si="26"/>
        <v>0</v>
      </c>
      <c r="BQ22" s="5">
        <f t="shared" si="27"/>
        <v>0</v>
      </c>
      <c r="BR22" s="5">
        <f t="shared" si="28"/>
        <v>1</v>
      </c>
      <c r="BS22" s="5">
        <f t="shared" si="29"/>
        <v>0</v>
      </c>
      <c r="BT22" s="47"/>
      <c r="BU22" s="18">
        <f t="shared" si="30"/>
        <v>29.158979386902843</v>
      </c>
      <c r="BV22" s="18">
        <f t="shared" si="31"/>
        <v>0.8888376464626333</v>
      </c>
      <c r="BW22" s="18">
        <f t="shared" si="32"/>
        <v>-0.74116235353736659</v>
      </c>
      <c r="BX22" s="18">
        <f t="shared" si="33"/>
        <v>2.5188376464626332</v>
      </c>
      <c r="BY22" s="5" t="str">
        <f t="shared" si="34"/>
        <v/>
      </c>
      <c r="BZ22" s="47"/>
      <c r="CA22" s="47"/>
      <c r="CB22" s="18"/>
      <c r="CC22" s="18" t="str">
        <f>IF($BG22=CC$1,$AI22," ")</f>
        <v xml:space="preserve"> </v>
      </c>
    </row>
    <row r="23" spans="1:81" s="5" customFormat="1" ht="8.25" x14ac:dyDescent="0.15">
      <c r="A23" s="1" t="s">
        <v>45</v>
      </c>
      <c r="B23" s="2" t="s">
        <v>46</v>
      </c>
      <c r="C23" s="1"/>
      <c r="D23" s="6">
        <v>2</v>
      </c>
      <c r="E23" s="7">
        <v>200</v>
      </c>
      <c r="F23" s="8">
        <f t="shared" si="36"/>
        <v>5</v>
      </c>
      <c r="G23" s="3">
        <v>2125</v>
      </c>
      <c r="H23" s="7">
        <v>1850</v>
      </c>
      <c r="I23" s="3">
        <v>263</v>
      </c>
      <c r="J23" s="3">
        <v>138</v>
      </c>
      <c r="K23" s="85">
        <f t="shared" si="0"/>
        <v>35.928502422822838</v>
      </c>
      <c r="L23" s="11">
        <f t="shared" si="1"/>
        <v>7.2324999999999999</v>
      </c>
      <c r="M23" s="10">
        <f t="shared" si="2"/>
        <v>4</v>
      </c>
      <c r="N23" s="4">
        <v>2276</v>
      </c>
      <c r="O23" s="90">
        <f t="shared" si="3"/>
        <v>80.169073617470943</v>
      </c>
      <c r="P23" s="4">
        <v>1</v>
      </c>
      <c r="Q23" s="4">
        <v>925</v>
      </c>
      <c r="R23" s="4">
        <v>58</v>
      </c>
      <c r="S23" s="4">
        <v>920</v>
      </c>
      <c r="T23" s="85">
        <f t="shared" ref="T23:T29" si="37">DEGREES(ATAN((Q23-S23)/R23))</f>
        <v>4.9271099476490141</v>
      </c>
      <c r="U23" s="4"/>
      <c r="V23" s="4"/>
      <c r="W23" s="4"/>
      <c r="X23" s="10"/>
      <c r="Y23" s="14">
        <v>920</v>
      </c>
      <c r="Z23" s="12">
        <v>58</v>
      </c>
      <c r="AA23" s="4"/>
      <c r="AB23" s="4"/>
      <c r="AC23" s="86">
        <v>4.9271099476490141</v>
      </c>
      <c r="AD23" s="13">
        <v>2839</v>
      </c>
      <c r="AE23" s="64">
        <f>0.0001*2</f>
        <v>2.0000000000000001E-4</v>
      </c>
      <c r="AF23" s="12">
        <v>1205</v>
      </c>
      <c r="AG23" s="11">
        <f t="shared" si="4"/>
        <v>22.998563485692088</v>
      </c>
      <c r="AH23" s="11">
        <f t="shared" si="5"/>
        <v>23.340171680899847</v>
      </c>
      <c r="AI23" s="15"/>
      <c r="AJ23" s="4"/>
      <c r="AK23" s="4"/>
      <c r="AL23" s="75"/>
      <c r="AM23" s="75"/>
      <c r="AN23" s="16"/>
      <c r="AO23" s="4">
        <v>4</v>
      </c>
      <c r="AP23" s="13">
        <v>1</v>
      </c>
      <c r="AQ23" s="71">
        <f t="shared" si="6"/>
        <v>1</v>
      </c>
      <c r="AT23" s="18">
        <f t="shared" si="7"/>
        <v>23.340171680899847</v>
      </c>
      <c r="AU23" s="18">
        <f t="shared" si="8"/>
        <v>22.998563485692088</v>
      </c>
      <c r="AV23" s="18">
        <f t="shared" si="9"/>
        <v>0.34160819520775831</v>
      </c>
      <c r="AX23" s="18">
        <f t="shared" si="10"/>
        <v>20.392932194292882</v>
      </c>
      <c r="AY23" s="18">
        <f t="shared" si="11"/>
        <v>2.6056312913992059</v>
      </c>
      <c r="BA23" s="17">
        <f t="shared" si="12"/>
        <v>1200</v>
      </c>
      <c r="BB23" s="17">
        <f t="shared" si="13"/>
        <v>2781</v>
      </c>
      <c r="BC23" s="5" t="str">
        <f t="shared" si="14"/>
        <v>35-40</v>
      </c>
      <c r="BD23" s="5" t="str">
        <f t="shared" si="15"/>
        <v>2EXP-4-4EXP-4</v>
      </c>
      <c r="BE23" s="5" t="str">
        <f t="shared" si="16"/>
        <v>1200-1500</v>
      </c>
      <c r="BF23" s="5" t="str">
        <f t="shared" si="17"/>
        <v>&gt;2500</v>
      </c>
      <c r="BG23" s="5" t="str">
        <f t="shared" si="18"/>
        <v>SE</v>
      </c>
      <c r="BH23" s="5" t="str">
        <f t="shared" si="19"/>
        <v>80-100</v>
      </c>
      <c r="BI23" s="5" t="str">
        <f t="shared" si="20"/>
        <v>34-36</v>
      </c>
      <c r="BK23" s="5">
        <f t="shared" si="21"/>
        <v>1</v>
      </c>
      <c r="BL23" s="5">
        <f t="shared" si="22"/>
        <v>0</v>
      </c>
      <c r="BM23" s="5">
        <f t="shared" si="23"/>
        <v>1</v>
      </c>
      <c r="BN23" s="5">
        <f t="shared" si="24"/>
        <v>0</v>
      </c>
      <c r="BO23" s="5">
        <f t="shared" si="25"/>
        <v>0</v>
      </c>
      <c r="BP23" s="5">
        <f t="shared" si="26"/>
        <v>0</v>
      </c>
      <c r="BQ23" s="5">
        <f t="shared" si="27"/>
        <v>0</v>
      </c>
      <c r="BR23" s="5">
        <f t="shared" si="28"/>
        <v>0</v>
      </c>
      <c r="BS23" s="5">
        <f t="shared" si="29"/>
        <v>0</v>
      </c>
      <c r="BU23" s="18">
        <f t="shared" si="30"/>
        <v>22.005017086412085</v>
      </c>
      <c r="BV23" s="18">
        <f t="shared" si="31"/>
        <v>0.9935463992800031</v>
      </c>
      <c r="BW23" s="18">
        <f t="shared" si="32"/>
        <v>-0.63645360071999679</v>
      </c>
      <c r="BX23" s="18">
        <f t="shared" si="33"/>
        <v>2.623546399280003</v>
      </c>
      <c r="BY23" s="5" t="str">
        <f t="shared" si="34"/>
        <v/>
      </c>
      <c r="CB23" s="18"/>
      <c r="CC23" s="18"/>
    </row>
    <row r="24" spans="1:81" s="5" customFormat="1" ht="8.25" x14ac:dyDescent="0.15">
      <c r="A24" s="77" t="s">
        <v>276</v>
      </c>
      <c r="B24" s="2" t="str">
        <f>MID(A24,1,6)</f>
        <v>GAR152</v>
      </c>
      <c r="C24" s="1"/>
      <c r="D24" s="6">
        <v>2</v>
      </c>
      <c r="E24" s="49">
        <v>210</v>
      </c>
      <c r="F24" s="8">
        <f t="shared" si="36"/>
        <v>6</v>
      </c>
      <c r="G24" s="47">
        <v>2200</v>
      </c>
      <c r="H24" s="58">
        <v>1925</v>
      </c>
      <c r="I24" s="58">
        <v>295</v>
      </c>
      <c r="J24" s="45">
        <v>113</v>
      </c>
      <c r="K24" s="85">
        <f t="shared" si="0"/>
        <v>41.507406839143954</v>
      </c>
      <c r="L24" s="11">
        <f t="shared" si="1"/>
        <v>8.1125000000000007</v>
      </c>
      <c r="M24" s="10">
        <f t="shared" si="2"/>
        <v>4</v>
      </c>
      <c r="N24" s="4">
        <v>2646</v>
      </c>
      <c r="O24" s="90">
        <f t="shared" si="3"/>
        <v>87.586891757696122</v>
      </c>
      <c r="P24" s="4">
        <v>1</v>
      </c>
      <c r="Q24" s="4">
        <v>935</v>
      </c>
      <c r="R24" s="4">
        <v>66</v>
      </c>
      <c r="S24" s="4">
        <v>930</v>
      </c>
      <c r="T24" s="85">
        <f t="shared" si="37"/>
        <v>4.3323139831885147</v>
      </c>
      <c r="U24" s="4"/>
      <c r="V24" s="4"/>
      <c r="W24" s="4"/>
      <c r="X24" s="10"/>
      <c r="Y24" s="14">
        <f>S24</f>
        <v>930</v>
      </c>
      <c r="Z24" s="12">
        <f>R24+V24-U24</f>
        <v>66</v>
      </c>
      <c r="AA24" s="46"/>
      <c r="AB24" s="46"/>
      <c r="AC24" s="85"/>
      <c r="AD24" s="13">
        <v>3021</v>
      </c>
      <c r="AE24" s="3">
        <f>9*(POWER(10,-5))*2</f>
        <v>1.8000000000000001E-4</v>
      </c>
      <c r="AF24" s="51">
        <f>G24-S24</f>
        <v>1270</v>
      </c>
      <c r="AG24" s="11">
        <f t="shared" si="4"/>
        <v>22.801426948504883</v>
      </c>
      <c r="AH24" s="50">
        <f t="shared" si="5"/>
        <v>23.175185376260075</v>
      </c>
      <c r="AI24" s="54"/>
      <c r="AJ24" s="4"/>
      <c r="AK24" s="4"/>
      <c r="AL24" s="75"/>
      <c r="AM24" s="75"/>
      <c r="AN24" s="57"/>
      <c r="AO24" s="4">
        <v>4</v>
      </c>
      <c r="AP24" s="13">
        <v>1</v>
      </c>
      <c r="AQ24" s="71">
        <f t="shared" si="6"/>
        <v>1</v>
      </c>
      <c r="AR24" s="47"/>
      <c r="AS24" s="47"/>
      <c r="AT24" s="18">
        <f t="shared" si="7"/>
        <v>23.175185376260075</v>
      </c>
      <c r="AU24" s="18">
        <f t="shared" si="8"/>
        <v>22.801426948504883</v>
      </c>
      <c r="AV24" s="18">
        <f t="shared" si="9"/>
        <v>0.37375842775519175</v>
      </c>
      <c r="AW24" s="47"/>
      <c r="AX24" s="18">
        <f t="shared" si="10"/>
        <v>20.083892739720259</v>
      </c>
      <c r="AY24" s="18">
        <f t="shared" si="11"/>
        <v>2.7175342087846239</v>
      </c>
      <c r="AZ24" s="47"/>
      <c r="BA24" s="17">
        <f t="shared" si="12"/>
        <v>1265</v>
      </c>
      <c r="BB24" s="17">
        <f t="shared" si="13"/>
        <v>2955</v>
      </c>
      <c r="BC24" s="5" t="str">
        <f t="shared" si="14"/>
        <v>40-45</v>
      </c>
      <c r="BD24" s="5" t="str">
        <f t="shared" si="15"/>
        <v>&lt;2EXP-4</v>
      </c>
      <c r="BE24" s="5" t="str">
        <f t="shared" si="16"/>
        <v>1200-1500</v>
      </c>
      <c r="BF24" s="5" t="str">
        <f t="shared" si="17"/>
        <v>&gt;2500</v>
      </c>
      <c r="BG24" s="5" t="str">
        <f t="shared" si="18"/>
        <v>SE</v>
      </c>
      <c r="BH24" s="5" t="str">
        <f t="shared" si="19"/>
        <v>80-100</v>
      </c>
      <c r="BI24" s="5" t="str">
        <f t="shared" si="20"/>
        <v>40-42</v>
      </c>
      <c r="BJ24" s="47"/>
      <c r="BK24" s="5">
        <f t="shared" si="21"/>
        <v>1</v>
      </c>
      <c r="BL24" s="5">
        <f t="shared" si="22"/>
        <v>0</v>
      </c>
      <c r="BM24" s="5">
        <f t="shared" si="23"/>
        <v>1</v>
      </c>
      <c r="BN24" s="5">
        <f t="shared" si="24"/>
        <v>0</v>
      </c>
      <c r="BO24" s="5">
        <f t="shared" si="25"/>
        <v>0</v>
      </c>
      <c r="BP24" s="5">
        <f t="shared" si="26"/>
        <v>0</v>
      </c>
      <c r="BQ24" s="5">
        <f t="shared" si="27"/>
        <v>0</v>
      </c>
      <c r="BR24" s="5">
        <f t="shared" si="28"/>
        <v>0</v>
      </c>
      <c r="BS24" s="5">
        <f t="shared" si="29"/>
        <v>0</v>
      </c>
      <c r="BT24" s="47"/>
      <c r="BU24" s="18">
        <f t="shared" si="30"/>
        <v>21.876282009378524</v>
      </c>
      <c r="BV24" s="18">
        <f t="shared" si="31"/>
        <v>0.92514493912635842</v>
      </c>
      <c r="BW24" s="18">
        <f t="shared" si="32"/>
        <v>-0.70485506087364147</v>
      </c>
      <c r="BX24" s="18">
        <f t="shared" si="33"/>
        <v>2.5551449391263583</v>
      </c>
      <c r="BY24" s="5" t="str">
        <f t="shared" si="34"/>
        <v/>
      </c>
      <c r="BZ24" s="47"/>
      <c r="CA24" s="47"/>
      <c r="CB24" s="18"/>
      <c r="CC24" s="18" t="str">
        <f>IF($BG24=CC$1,$AI24," ")</f>
        <v xml:space="preserve"> </v>
      </c>
    </row>
    <row r="25" spans="1:81" s="5" customFormat="1" ht="8.25" x14ac:dyDescent="0.15">
      <c r="A25" s="20" t="s">
        <v>187</v>
      </c>
      <c r="B25" s="2" t="str">
        <f>MID(A25,1,6)</f>
        <v>GAR175</v>
      </c>
      <c r="C25" s="20" t="s">
        <v>188</v>
      </c>
      <c r="D25" s="6">
        <v>2</v>
      </c>
      <c r="E25" s="7">
        <v>320</v>
      </c>
      <c r="F25" s="8">
        <f t="shared" si="36"/>
        <v>8</v>
      </c>
      <c r="G25" s="5">
        <v>2205</v>
      </c>
      <c r="H25" s="9">
        <v>2000</v>
      </c>
      <c r="I25" s="9">
        <v>254</v>
      </c>
      <c r="J25" s="3">
        <v>141</v>
      </c>
      <c r="K25" s="85">
        <f t="shared" si="0"/>
        <v>35.345022904343814</v>
      </c>
      <c r="L25" s="11">
        <f t="shared" si="1"/>
        <v>5.2069999999999999</v>
      </c>
      <c r="M25" s="10">
        <f t="shared" si="2"/>
        <v>3</v>
      </c>
      <c r="N25" s="4">
        <v>2202</v>
      </c>
      <c r="O25" s="90">
        <f t="shared" si="3"/>
        <v>75.644108553761598</v>
      </c>
      <c r="P25" s="4">
        <v>1</v>
      </c>
      <c r="Q25" s="4">
        <v>660</v>
      </c>
      <c r="R25" s="17">
        <v>149</v>
      </c>
      <c r="S25" s="17">
        <v>645</v>
      </c>
      <c r="T25" s="85">
        <f t="shared" si="37"/>
        <v>5.7486634172877675</v>
      </c>
      <c r="U25" s="17"/>
      <c r="V25" s="17">
        <v>67</v>
      </c>
      <c r="W25" s="17">
        <v>648</v>
      </c>
      <c r="X25" s="10">
        <f>DEGREES(ATAN((W25-S25)/V25))</f>
        <v>2.5637702114650041</v>
      </c>
      <c r="Y25" s="14">
        <v>648</v>
      </c>
      <c r="Z25" s="12">
        <f>R25+V25-U25</f>
        <v>216</v>
      </c>
      <c r="AA25" s="4"/>
      <c r="AB25" s="4"/>
      <c r="AC25" s="86">
        <f>T25</f>
        <v>5.7486634172877675</v>
      </c>
      <c r="AD25" s="13">
        <v>2911</v>
      </c>
      <c r="AE25" s="64">
        <f>0.00008*2</f>
        <v>1.6000000000000001E-4</v>
      </c>
      <c r="AF25" s="12">
        <f>G25-S25</f>
        <v>1560</v>
      </c>
      <c r="AG25" s="11">
        <f t="shared" si="4"/>
        <v>28.186782399268278</v>
      </c>
      <c r="AH25" s="11">
        <f t="shared" si="5"/>
        <v>29.824951210198353</v>
      </c>
      <c r="AI25" s="15"/>
      <c r="AJ25" s="4"/>
      <c r="AK25" s="4"/>
      <c r="AL25" s="75"/>
      <c r="AM25" s="75"/>
      <c r="AN25" s="18"/>
      <c r="AO25" s="4">
        <v>4</v>
      </c>
      <c r="AP25" s="13">
        <v>1</v>
      </c>
      <c r="AQ25" s="71">
        <f t="shared" si="6"/>
        <v>1</v>
      </c>
      <c r="AT25" s="18">
        <f t="shared" si="7"/>
        <v>29.824951210198353</v>
      </c>
      <c r="AU25" s="18">
        <f t="shared" si="8"/>
        <v>28.186782399268278</v>
      </c>
      <c r="AV25" s="18">
        <f t="shared" si="9"/>
        <v>1.6381688109300754</v>
      </c>
      <c r="AX25" s="18">
        <f t="shared" si="10"/>
        <v>25.964212431852733</v>
      </c>
      <c r="AY25" s="18">
        <f t="shared" si="11"/>
        <v>2.222569967415545</v>
      </c>
      <c r="BA25" s="17">
        <f t="shared" si="12"/>
        <v>1545</v>
      </c>
      <c r="BB25" s="17">
        <f t="shared" si="13"/>
        <v>2695</v>
      </c>
      <c r="BC25" s="5" t="str">
        <f t="shared" si="14"/>
        <v>35-40</v>
      </c>
      <c r="BD25" s="5" t="str">
        <f t="shared" si="15"/>
        <v>&lt;2EXP-4</v>
      </c>
      <c r="BE25" s="5" t="str">
        <f t="shared" si="16"/>
        <v>1200-1500</v>
      </c>
      <c r="BF25" s="5" t="str">
        <f t="shared" si="17"/>
        <v>&gt;2500</v>
      </c>
      <c r="BG25" s="5" t="str">
        <f t="shared" si="18"/>
        <v>NW</v>
      </c>
      <c r="BH25" s="5" t="str">
        <f t="shared" si="19"/>
        <v>60-80</v>
      </c>
      <c r="BI25" s="5" t="str">
        <f t="shared" si="20"/>
        <v>34-36</v>
      </c>
      <c r="BK25" s="5">
        <f t="shared" si="21"/>
        <v>1</v>
      </c>
      <c r="BL25" s="5">
        <f t="shared" si="22"/>
        <v>0</v>
      </c>
      <c r="BM25" s="5">
        <f t="shared" si="23"/>
        <v>1</v>
      </c>
      <c r="BN25" s="5">
        <f t="shared" si="24"/>
        <v>0</v>
      </c>
      <c r="BO25" s="5">
        <f t="shared" si="25"/>
        <v>0</v>
      </c>
      <c r="BP25" s="5">
        <f t="shared" si="26"/>
        <v>0</v>
      </c>
      <c r="BQ25" s="5">
        <f t="shared" si="27"/>
        <v>1</v>
      </c>
      <c r="BR25" s="5">
        <f t="shared" si="28"/>
        <v>0</v>
      </c>
      <c r="BS25" s="5">
        <f t="shared" si="29"/>
        <v>0</v>
      </c>
      <c r="BU25" s="18">
        <f t="shared" si="30"/>
        <v>28.25685045249427</v>
      </c>
      <c r="BV25" s="18">
        <f t="shared" si="31"/>
        <v>-7.0068053225991633E-2</v>
      </c>
      <c r="BW25" s="18">
        <f t="shared" si="32"/>
        <v>-1.7000680532259915</v>
      </c>
      <c r="BX25" s="18">
        <f t="shared" si="33"/>
        <v>1.5599319467740083</v>
      </c>
      <c r="BY25" s="5" t="str">
        <f t="shared" si="34"/>
        <v/>
      </c>
      <c r="CB25" s="18"/>
      <c r="CC25" s="18"/>
    </row>
    <row r="26" spans="1:81" s="5" customFormat="1" ht="8.25" x14ac:dyDescent="0.15">
      <c r="A26" s="1" t="s">
        <v>47</v>
      </c>
      <c r="B26" s="2" t="s">
        <v>48</v>
      </c>
      <c r="C26" s="1" t="s">
        <v>49</v>
      </c>
      <c r="D26" s="6">
        <v>2</v>
      </c>
      <c r="E26" s="7">
        <v>80</v>
      </c>
      <c r="F26" s="8">
        <f t="shared" si="36"/>
        <v>3</v>
      </c>
      <c r="G26" s="3">
        <v>2265</v>
      </c>
      <c r="H26" s="7">
        <v>2100</v>
      </c>
      <c r="I26" s="7">
        <v>211</v>
      </c>
      <c r="J26" s="3">
        <v>124</v>
      </c>
      <c r="K26" s="85">
        <f t="shared" si="0"/>
        <v>38.884496433714595</v>
      </c>
      <c r="L26" s="11">
        <f t="shared" si="1"/>
        <v>3.4815</v>
      </c>
      <c r="M26" s="10">
        <f t="shared" si="2"/>
        <v>3</v>
      </c>
      <c r="N26" s="4">
        <v>1411</v>
      </c>
      <c r="O26" s="90">
        <f t="shared" si="3"/>
        <v>46.307843780767968</v>
      </c>
      <c r="P26" s="4">
        <v>1</v>
      </c>
      <c r="Q26" s="4">
        <v>835</v>
      </c>
      <c r="R26" s="4">
        <v>65</v>
      </c>
      <c r="S26" s="4">
        <v>827</v>
      </c>
      <c r="T26" s="85">
        <f t="shared" si="37"/>
        <v>7.0165017447229099</v>
      </c>
      <c r="U26" s="4"/>
      <c r="V26" s="4"/>
      <c r="W26" s="4"/>
      <c r="X26" s="10"/>
      <c r="Y26" s="14">
        <v>827</v>
      </c>
      <c r="Z26" s="12">
        <v>65</v>
      </c>
      <c r="AA26" s="4"/>
      <c r="AB26" s="4"/>
      <c r="AC26" s="86">
        <v>7.0165017447229099</v>
      </c>
      <c r="AD26" s="13">
        <v>3047</v>
      </c>
      <c r="AE26" s="64">
        <f>0.00002*2</f>
        <v>4.0000000000000003E-5</v>
      </c>
      <c r="AF26" s="12">
        <v>1438</v>
      </c>
      <c r="AG26" s="11">
        <f t="shared" si="4"/>
        <v>25.264480878642278</v>
      </c>
      <c r="AH26" s="11">
        <f t="shared" si="5"/>
        <v>25.619764341215159</v>
      </c>
      <c r="AI26" s="15"/>
      <c r="AJ26" s="4"/>
      <c r="AK26" s="4"/>
      <c r="AL26" s="75"/>
      <c r="AM26" s="75"/>
      <c r="AN26" s="16"/>
      <c r="AO26" s="4">
        <v>4</v>
      </c>
      <c r="AP26" s="13">
        <v>1</v>
      </c>
      <c r="AQ26" s="71">
        <f t="shared" si="6"/>
        <v>1</v>
      </c>
      <c r="AT26" s="18">
        <f t="shared" si="7"/>
        <v>25.619764341215159</v>
      </c>
      <c r="AU26" s="18">
        <f t="shared" si="8"/>
        <v>25.264480878642278</v>
      </c>
      <c r="AV26" s="18">
        <f t="shared" si="9"/>
        <v>0.35528346257288135</v>
      </c>
      <c r="AX26" s="18">
        <f t="shared" si="10"/>
        <v>22.590218542735673</v>
      </c>
      <c r="AY26" s="18">
        <f t="shared" si="11"/>
        <v>2.6742623359066044</v>
      </c>
      <c r="BA26" s="17">
        <f t="shared" si="12"/>
        <v>1430</v>
      </c>
      <c r="BB26" s="17">
        <f t="shared" si="13"/>
        <v>2982</v>
      </c>
      <c r="BC26" s="5" t="str">
        <f t="shared" si="14"/>
        <v>35-40</v>
      </c>
      <c r="BD26" s="5" t="str">
        <f t="shared" si="15"/>
        <v>&lt;2EXP-4</v>
      </c>
      <c r="BE26" s="5" t="str">
        <f t="shared" si="16"/>
        <v>1200-1500</v>
      </c>
      <c r="BF26" s="5" t="str">
        <f t="shared" si="17"/>
        <v>&gt;2500</v>
      </c>
      <c r="BG26" s="5" t="str">
        <f t="shared" si="18"/>
        <v>SE</v>
      </c>
      <c r="BH26" s="5" t="str">
        <f t="shared" si="19"/>
        <v>40-60</v>
      </c>
      <c r="BI26" s="5" t="str">
        <f t="shared" si="20"/>
        <v>38-40</v>
      </c>
      <c r="BK26" s="5">
        <f t="shared" si="21"/>
        <v>1</v>
      </c>
      <c r="BL26" s="5">
        <f t="shared" si="22"/>
        <v>0</v>
      </c>
      <c r="BM26" s="5">
        <f t="shared" si="23"/>
        <v>1</v>
      </c>
      <c r="BN26" s="5">
        <f t="shared" si="24"/>
        <v>0</v>
      </c>
      <c r="BO26" s="5">
        <f t="shared" si="25"/>
        <v>0</v>
      </c>
      <c r="BP26" s="5">
        <f t="shared" si="26"/>
        <v>0</v>
      </c>
      <c r="BQ26" s="5">
        <f t="shared" si="27"/>
        <v>0</v>
      </c>
      <c r="BR26" s="5">
        <f t="shared" si="28"/>
        <v>1</v>
      </c>
      <c r="BS26" s="5">
        <f t="shared" si="29"/>
        <v>0</v>
      </c>
      <c r="BU26" s="18">
        <f t="shared" si="30"/>
        <v>25.252106910658576</v>
      </c>
      <c r="BV26" s="18">
        <f t="shared" si="31"/>
        <v>1.2373967983702272E-2</v>
      </c>
      <c r="BW26" s="18">
        <f t="shared" si="32"/>
        <v>-1.6176260320162976</v>
      </c>
      <c r="BX26" s="18">
        <f t="shared" si="33"/>
        <v>1.6423739679837022</v>
      </c>
      <c r="BY26" s="5" t="str">
        <f t="shared" si="34"/>
        <v/>
      </c>
      <c r="CB26" s="18"/>
      <c r="CC26" s="18"/>
    </row>
    <row r="27" spans="1:81" s="5" customFormat="1" ht="8.25" x14ac:dyDescent="0.15">
      <c r="A27" s="1" t="s">
        <v>221</v>
      </c>
      <c r="B27" s="2" t="s">
        <v>222</v>
      </c>
      <c r="C27" s="1" t="s">
        <v>223</v>
      </c>
      <c r="D27" s="6">
        <v>2</v>
      </c>
      <c r="E27" s="7">
        <v>50</v>
      </c>
      <c r="F27" s="8">
        <f t="shared" si="36"/>
        <v>2</v>
      </c>
      <c r="G27" s="3">
        <v>2265</v>
      </c>
      <c r="H27" s="7">
        <v>2100</v>
      </c>
      <c r="I27" s="7">
        <v>211</v>
      </c>
      <c r="J27" s="3">
        <v>124</v>
      </c>
      <c r="K27" s="85">
        <f t="shared" si="0"/>
        <v>38.884496433714595</v>
      </c>
      <c r="L27" s="11">
        <f t="shared" si="1"/>
        <v>3.4815</v>
      </c>
      <c r="M27" s="10">
        <f t="shared" si="2"/>
        <v>3</v>
      </c>
      <c r="N27" s="4">
        <v>819</v>
      </c>
      <c r="O27" s="90">
        <f t="shared" si="3"/>
        <v>40.705765407554672</v>
      </c>
      <c r="P27" s="4">
        <v>1</v>
      </c>
      <c r="Q27" s="4">
        <v>1190</v>
      </c>
      <c r="R27" s="4">
        <v>175</v>
      </c>
      <c r="S27" s="4">
        <v>1180</v>
      </c>
      <c r="T27" s="85">
        <f t="shared" si="37"/>
        <v>3.2704879231835653</v>
      </c>
      <c r="U27" s="4"/>
      <c r="V27" s="4"/>
      <c r="W27" s="4"/>
      <c r="X27" s="10"/>
      <c r="Y27" s="14">
        <v>1180</v>
      </c>
      <c r="Z27" s="12">
        <v>175</v>
      </c>
      <c r="AA27" s="4"/>
      <c r="AB27" s="4"/>
      <c r="AC27" s="86">
        <v>3.2704879231835653</v>
      </c>
      <c r="AD27" s="13">
        <v>2012</v>
      </c>
      <c r="AE27" s="64">
        <f>0.0001*2</f>
        <v>2.0000000000000001E-4</v>
      </c>
      <c r="AF27" s="12">
        <v>1070</v>
      </c>
      <c r="AG27" s="11">
        <f t="shared" si="4"/>
        <v>28.004453775839206</v>
      </c>
      <c r="AH27" s="11">
        <f t="shared" si="5"/>
        <v>30.335882713075815</v>
      </c>
      <c r="AI27" s="15"/>
      <c r="AJ27" s="4"/>
      <c r="AK27" s="4"/>
      <c r="AL27" s="75"/>
      <c r="AM27" s="75"/>
      <c r="AN27" s="16"/>
      <c r="AO27" s="4">
        <v>4</v>
      </c>
      <c r="AP27" s="13">
        <v>1</v>
      </c>
      <c r="AQ27" s="71">
        <f t="shared" si="6"/>
        <v>1</v>
      </c>
      <c r="AT27" s="18">
        <f t="shared" si="7"/>
        <v>30.335882713075815</v>
      </c>
      <c r="AU27" s="18">
        <f t="shared" si="8"/>
        <v>28.004453775839206</v>
      </c>
      <c r="AV27" s="18">
        <f t="shared" si="9"/>
        <v>2.331428937236609</v>
      </c>
      <c r="AX27" s="18">
        <f t="shared" si="10"/>
        <v>27.256629689068379</v>
      </c>
      <c r="AY27" s="18">
        <f t="shared" si="11"/>
        <v>0.74782408677082657</v>
      </c>
      <c r="BA27" s="17">
        <f t="shared" si="12"/>
        <v>1075</v>
      </c>
      <c r="BB27" s="17">
        <f t="shared" si="13"/>
        <v>1837</v>
      </c>
      <c r="BC27" s="5" t="str">
        <f t="shared" si="14"/>
        <v>35-40</v>
      </c>
      <c r="BD27" s="5" t="str">
        <f t="shared" si="15"/>
        <v>2EXP-4-4EXP-4</v>
      </c>
      <c r="BE27" s="5" t="str">
        <f t="shared" si="16"/>
        <v>900-1200</v>
      </c>
      <c r="BF27" s="5" t="str">
        <f t="shared" si="17"/>
        <v>2000-2500</v>
      </c>
      <c r="BG27" s="5" t="str">
        <f t="shared" si="18"/>
        <v>SE</v>
      </c>
      <c r="BH27" s="5" t="str">
        <f t="shared" si="19"/>
        <v>40-60</v>
      </c>
      <c r="BI27" s="5" t="str">
        <f t="shared" si="20"/>
        <v>38-40</v>
      </c>
      <c r="BK27" s="5">
        <f t="shared" si="21"/>
        <v>1</v>
      </c>
      <c r="BL27" s="5">
        <f t="shared" si="22"/>
        <v>0</v>
      </c>
      <c r="BM27" s="5">
        <f t="shared" si="23"/>
        <v>1</v>
      </c>
      <c r="BN27" s="5">
        <f t="shared" si="24"/>
        <v>1</v>
      </c>
      <c r="BO27" s="5">
        <f t="shared" si="25"/>
        <v>0</v>
      </c>
      <c r="BP27" s="5">
        <f t="shared" si="26"/>
        <v>0</v>
      </c>
      <c r="BQ27" s="5">
        <f t="shared" si="27"/>
        <v>0</v>
      </c>
      <c r="BR27" s="5">
        <f t="shared" si="28"/>
        <v>1</v>
      </c>
      <c r="BS27" s="5">
        <f t="shared" si="29"/>
        <v>0</v>
      </c>
      <c r="BU27" s="18">
        <f t="shared" si="30"/>
        <v>28.398774629051779</v>
      </c>
      <c r="BV27" s="18">
        <f t="shared" si="31"/>
        <v>-0.39432085321257304</v>
      </c>
      <c r="BW27" s="18">
        <f t="shared" si="32"/>
        <v>-2.0243208532125729</v>
      </c>
      <c r="BX27" s="18">
        <f t="shared" si="33"/>
        <v>1.2356791467874269</v>
      </c>
      <c r="BY27" s="5" t="str">
        <f t="shared" si="34"/>
        <v/>
      </c>
      <c r="CB27" s="18"/>
      <c r="CC27" s="18"/>
    </row>
    <row r="28" spans="1:81" s="5" customFormat="1" ht="8.25" x14ac:dyDescent="0.15">
      <c r="A28" s="1" t="s">
        <v>224</v>
      </c>
      <c r="B28" s="2" t="s">
        <v>225</v>
      </c>
      <c r="C28" s="1" t="s">
        <v>226</v>
      </c>
      <c r="D28" s="6">
        <v>2</v>
      </c>
      <c r="E28" s="7">
        <v>320</v>
      </c>
      <c r="F28" s="8">
        <f t="shared" si="36"/>
        <v>8</v>
      </c>
      <c r="G28" s="3">
        <v>2105</v>
      </c>
      <c r="H28" s="7">
        <v>1950</v>
      </c>
      <c r="I28" s="7">
        <v>94</v>
      </c>
      <c r="J28" s="3">
        <v>131</v>
      </c>
      <c r="K28" s="85">
        <f t="shared" si="0"/>
        <v>37.356621928520433</v>
      </c>
      <c r="L28" s="11">
        <f t="shared" si="1"/>
        <v>1.4570000000000001</v>
      </c>
      <c r="M28" s="10">
        <f t="shared" si="2"/>
        <v>2</v>
      </c>
      <c r="N28" s="4">
        <v>1131</v>
      </c>
      <c r="O28" s="90">
        <f t="shared" si="3"/>
        <v>68.29710144927536</v>
      </c>
      <c r="P28" s="4">
        <v>1</v>
      </c>
      <c r="Q28" s="4">
        <v>1075</v>
      </c>
      <c r="R28" s="4">
        <v>46</v>
      </c>
      <c r="S28" s="4">
        <v>1070</v>
      </c>
      <c r="T28" s="85">
        <f t="shared" si="37"/>
        <v>6.2034479016918356</v>
      </c>
      <c r="U28" s="4"/>
      <c r="V28" s="4"/>
      <c r="W28" s="4"/>
      <c r="X28" s="10"/>
      <c r="Y28" s="14">
        <v>1070</v>
      </c>
      <c r="Z28" s="12">
        <v>46</v>
      </c>
      <c r="AA28" s="4"/>
      <c r="AB28" s="4"/>
      <c r="AC28" s="86">
        <f>T28</f>
        <v>6.2034479016918356</v>
      </c>
      <c r="AD28" s="13">
        <v>1656</v>
      </c>
      <c r="AE28" s="64">
        <f>0.0002*2</f>
        <v>4.0000000000000002E-4</v>
      </c>
      <c r="AF28" s="12">
        <v>1037</v>
      </c>
      <c r="AG28" s="11">
        <f t="shared" si="4"/>
        <v>32.05511641710946</v>
      </c>
      <c r="AH28" s="11">
        <f t="shared" si="5"/>
        <v>32.609143339319104</v>
      </c>
      <c r="AI28" s="15"/>
      <c r="AJ28" s="4"/>
      <c r="AK28" s="4"/>
      <c r="AL28" s="75"/>
      <c r="AM28" s="75"/>
      <c r="AN28" s="16"/>
      <c r="AO28" s="4">
        <v>4</v>
      </c>
      <c r="AP28" s="13">
        <v>1</v>
      </c>
      <c r="AQ28" s="71">
        <f t="shared" si="6"/>
        <v>1</v>
      </c>
      <c r="AT28" s="18">
        <f t="shared" si="7"/>
        <v>32.609143339319104</v>
      </c>
      <c r="AU28" s="18">
        <f t="shared" si="8"/>
        <v>32.05511641710946</v>
      </c>
      <c r="AV28" s="18">
        <f t="shared" si="9"/>
        <v>0.55402692220964411</v>
      </c>
      <c r="AX28" s="18">
        <f t="shared" si="10"/>
        <v>30.013040371275711</v>
      </c>
      <c r="AY28" s="18">
        <f t="shared" si="11"/>
        <v>2.042076045833749</v>
      </c>
      <c r="BA28" s="17">
        <f t="shared" si="12"/>
        <v>1030</v>
      </c>
      <c r="BB28" s="17">
        <f t="shared" si="13"/>
        <v>1610</v>
      </c>
      <c r="BC28" s="5" t="str">
        <f t="shared" si="14"/>
        <v>35-40</v>
      </c>
      <c r="BD28" s="5" t="str">
        <f t="shared" si="15"/>
        <v>4EXP-4-6EXP-4</v>
      </c>
      <c r="BE28" s="5" t="str">
        <f t="shared" si="16"/>
        <v>900-1200</v>
      </c>
      <c r="BF28" s="5" t="str">
        <f t="shared" si="17"/>
        <v>1500-2000</v>
      </c>
      <c r="BG28" s="5" t="str">
        <f t="shared" si="18"/>
        <v>NW</v>
      </c>
      <c r="BH28" s="5" t="str">
        <f t="shared" si="19"/>
        <v>60-80</v>
      </c>
      <c r="BI28" s="5" t="str">
        <f t="shared" si="20"/>
        <v>36-38</v>
      </c>
      <c r="BK28" s="5">
        <f t="shared" si="21"/>
        <v>1</v>
      </c>
      <c r="BL28" s="5">
        <f t="shared" si="22"/>
        <v>0</v>
      </c>
      <c r="BM28" s="5">
        <f t="shared" si="23"/>
        <v>1</v>
      </c>
      <c r="BN28" s="5">
        <f t="shared" si="24"/>
        <v>1</v>
      </c>
      <c r="BO28" s="5">
        <f t="shared" si="25"/>
        <v>0</v>
      </c>
      <c r="BP28" s="5">
        <f t="shared" si="26"/>
        <v>1</v>
      </c>
      <c r="BQ28" s="5">
        <f t="shared" si="27"/>
        <v>1</v>
      </c>
      <c r="BR28" s="5">
        <f t="shared" si="28"/>
        <v>0</v>
      </c>
      <c r="BS28" s="5">
        <f t="shared" si="29"/>
        <v>0</v>
      </c>
      <c r="BU28" s="18">
        <f t="shared" si="30"/>
        <v>31.398112047114218</v>
      </c>
      <c r="BV28" s="18">
        <f t="shared" si="31"/>
        <v>0.65700436999524214</v>
      </c>
      <c r="BW28" s="18">
        <f t="shared" si="32"/>
        <v>-0.97299563000475775</v>
      </c>
      <c r="BX28" s="18">
        <f t="shared" si="33"/>
        <v>2.287004369995242</v>
      </c>
      <c r="BY28" s="5" t="str">
        <f t="shared" si="34"/>
        <v/>
      </c>
      <c r="CB28" s="18"/>
      <c r="CC28" s="18"/>
    </row>
    <row r="29" spans="1:81" s="5" customFormat="1" ht="8.25" x14ac:dyDescent="0.15">
      <c r="A29" s="1" t="s">
        <v>50</v>
      </c>
      <c r="B29" s="2" t="s">
        <v>51</v>
      </c>
      <c r="C29" s="1" t="s">
        <v>52</v>
      </c>
      <c r="D29" s="6">
        <v>2</v>
      </c>
      <c r="E29" s="7">
        <v>190</v>
      </c>
      <c r="F29" s="8">
        <f t="shared" si="36"/>
        <v>5</v>
      </c>
      <c r="G29" s="3">
        <v>2185</v>
      </c>
      <c r="H29" s="7">
        <v>2150</v>
      </c>
      <c r="I29" s="7">
        <v>463</v>
      </c>
      <c r="J29" s="3">
        <v>141</v>
      </c>
      <c r="K29" s="85">
        <f t="shared" si="0"/>
        <v>35.345022904343814</v>
      </c>
      <c r="L29" s="11">
        <f t="shared" si="1"/>
        <v>1.6205000000000001</v>
      </c>
      <c r="M29" s="10">
        <f t="shared" si="2"/>
        <v>2</v>
      </c>
      <c r="N29" s="4">
        <v>1738</v>
      </c>
      <c r="O29" s="90">
        <f t="shared" si="3"/>
        <v>81.177020084072865</v>
      </c>
      <c r="P29" s="4">
        <v>1</v>
      </c>
      <c r="Q29" s="4">
        <v>1485</v>
      </c>
      <c r="R29" s="4">
        <v>201</v>
      </c>
      <c r="S29" s="4">
        <v>1445</v>
      </c>
      <c r="T29" s="85">
        <f t="shared" si="37"/>
        <v>11.255103993614531</v>
      </c>
      <c r="U29" s="4"/>
      <c r="V29" s="4"/>
      <c r="W29" s="4"/>
      <c r="X29" s="10"/>
      <c r="Y29" s="14">
        <v>1445</v>
      </c>
      <c r="Z29" s="12">
        <v>201</v>
      </c>
      <c r="AA29" s="4"/>
      <c r="AB29" s="4"/>
      <c r="AC29" s="86">
        <v>11.255103993614531</v>
      </c>
      <c r="AD29" s="13">
        <v>2141</v>
      </c>
      <c r="AE29" s="64">
        <f>0.00007*2</f>
        <v>1.3999999999999999E-4</v>
      </c>
      <c r="AF29" s="12">
        <v>740</v>
      </c>
      <c r="AG29" s="11">
        <f t="shared" si="4"/>
        <v>19.066832540774271</v>
      </c>
      <c r="AH29" s="11">
        <f t="shared" si="5"/>
        <v>19.840698083968348</v>
      </c>
      <c r="AI29" s="15"/>
      <c r="AJ29" s="4"/>
      <c r="AK29" s="4"/>
      <c r="AL29" s="75"/>
      <c r="AM29" s="75"/>
      <c r="AN29" s="16"/>
      <c r="AO29" s="4">
        <v>4</v>
      </c>
      <c r="AP29" s="13">
        <v>4</v>
      </c>
      <c r="AQ29" s="71">
        <f t="shared" si="6"/>
        <v>2</v>
      </c>
      <c r="AT29" s="18">
        <f t="shared" si="7"/>
        <v>19.840698083968348</v>
      </c>
      <c r="AU29" s="18">
        <f t="shared" si="8"/>
        <v>19.066832540774271</v>
      </c>
      <c r="AV29" s="18">
        <f t="shared" si="9"/>
        <v>0.77386554319407708</v>
      </c>
      <c r="AX29" s="18">
        <f t="shared" si="10"/>
        <v>19.696337524655629</v>
      </c>
      <c r="AY29" s="18">
        <f t="shared" si="11"/>
        <v>-0.62950498388135756</v>
      </c>
      <c r="BA29" s="17">
        <f t="shared" si="12"/>
        <v>700</v>
      </c>
      <c r="BB29" s="17">
        <f t="shared" si="13"/>
        <v>1940</v>
      </c>
      <c r="BC29" s="5" t="str">
        <f t="shared" si="14"/>
        <v>35-40</v>
      </c>
      <c r="BD29" s="5" t="str">
        <f t="shared" si="15"/>
        <v>&lt;2EXP-4</v>
      </c>
      <c r="BE29" s="5" t="str">
        <f t="shared" si="16"/>
        <v>600-900</v>
      </c>
      <c r="BF29" s="5" t="str">
        <f t="shared" si="17"/>
        <v>2000-2500</v>
      </c>
      <c r="BG29" s="5" t="str">
        <f t="shared" si="18"/>
        <v>SE</v>
      </c>
      <c r="BH29" s="5" t="str">
        <f t="shared" si="19"/>
        <v>80-100</v>
      </c>
      <c r="BI29" s="5" t="str">
        <f t="shared" si="20"/>
        <v>34-36</v>
      </c>
      <c r="BK29" s="5">
        <f t="shared" si="21"/>
        <v>1</v>
      </c>
      <c r="BL29" s="5">
        <f t="shared" si="22"/>
        <v>0</v>
      </c>
      <c r="BM29" s="5">
        <f t="shared" si="23"/>
        <v>1</v>
      </c>
      <c r="BN29" s="5">
        <f t="shared" si="24"/>
        <v>1</v>
      </c>
      <c r="BO29" s="5">
        <f t="shared" si="25"/>
        <v>0</v>
      </c>
      <c r="BP29" s="5">
        <f t="shared" si="26"/>
        <v>1</v>
      </c>
      <c r="BQ29" s="5">
        <f t="shared" si="27"/>
        <v>0</v>
      </c>
      <c r="BR29" s="5">
        <f t="shared" si="28"/>
        <v>0</v>
      </c>
      <c r="BS29" s="5">
        <f t="shared" si="29"/>
        <v>1</v>
      </c>
      <c r="BU29" s="18">
        <f t="shared" si="30"/>
        <v>19.96748078216751</v>
      </c>
      <c r="BV29" s="18">
        <f t="shared" si="31"/>
        <v>-0.90064824139323818</v>
      </c>
      <c r="BW29" s="18">
        <f t="shared" si="32"/>
        <v>-2.5306482413932381</v>
      </c>
      <c r="BX29" s="18">
        <f t="shared" si="33"/>
        <v>0.72935175860676171</v>
      </c>
      <c r="BY29" s="5" t="str">
        <f t="shared" si="34"/>
        <v/>
      </c>
      <c r="CB29" s="18"/>
      <c r="CC29" s="18"/>
    </row>
    <row r="30" spans="1:81" s="5" customFormat="1" ht="8.25" x14ac:dyDescent="0.15">
      <c r="A30" s="68" t="s">
        <v>53</v>
      </c>
      <c r="B30" s="2" t="s">
        <v>54</v>
      </c>
      <c r="C30" s="1" t="s">
        <v>55</v>
      </c>
      <c r="D30" s="6">
        <v>2</v>
      </c>
      <c r="E30" s="7">
        <v>235</v>
      </c>
      <c r="F30" s="8">
        <f t="shared" si="36"/>
        <v>6</v>
      </c>
      <c r="G30" s="3">
        <v>2105</v>
      </c>
      <c r="H30" s="7">
        <v>1900</v>
      </c>
      <c r="I30" s="7">
        <v>166</v>
      </c>
      <c r="J30" s="3">
        <v>163</v>
      </c>
      <c r="K30" s="85">
        <f t="shared" si="0"/>
        <v>31.528988037753418</v>
      </c>
      <c r="L30" s="11">
        <f t="shared" si="1"/>
        <v>3.403</v>
      </c>
      <c r="M30" s="10">
        <f t="shared" si="2"/>
        <v>3</v>
      </c>
      <c r="N30" s="4">
        <v>1400</v>
      </c>
      <c r="O30" s="90">
        <f t="shared" si="3"/>
        <v>71.138211382113823</v>
      </c>
      <c r="P30" s="4">
        <v>1</v>
      </c>
      <c r="Q30" s="4">
        <v>1200</v>
      </c>
      <c r="R30" s="4"/>
      <c r="S30" s="4">
        <v>1205</v>
      </c>
      <c r="T30" s="85"/>
      <c r="U30" s="4">
        <v>27</v>
      </c>
      <c r="V30" s="4"/>
      <c r="W30" s="4"/>
      <c r="X30" s="10"/>
      <c r="Y30" s="14">
        <v>1205</v>
      </c>
      <c r="Z30" s="12">
        <v>-27</v>
      </c>
      <c r="AA30" s="4">
        <v>189</v>
      </c>
      <c r="AB30" s="4">
        <v>50</v>
      </c>
      <c r="AC30" s="86">
        <v>14.818147250880806</v>
      </c>
      <c r="AD30" s="13">
        <v>1968</v>
      </c>
      <c r="AE30" s="64">
        <f>0.0002*2</f>
        <v>4.0000000000000002E-4</v>
      </c>
      <c r="AF30" s="12">
        <v>900</v>
      </c>
      <c r="AG30" s="11">
        <f t="shared" si="4"/>
        <v>24.57542719655471</v>
      </c>
      <c r="AH30" s="11">
        <f t="shared" si="5"/>
        <v>24.400663682109094</v>
      </c>
      <c r="AI30" s="15"/>
      <c r="AJ30" s="4"/>
      <c r="AK30" s="4"/>
      <c r="AL30" s="75"/>
      <c r="AM30" s="75"/>
      <c r="AN30" s="16"/>
      <c r="AO30" s="4">
        <v>4</v>
      </c>
      <c r="AP30" s="13">
        <v>4</v>
      </c>
      <c r="AQ30" s="71">
        <f t="shared" si="6"/>
        <v>2</v>
      </c>
      <c r="AT30" s="18">
        <f t="shared" si="7"/>
        <v>24.400663682109094</v>
      </c>
      <c r="AU30" s="18">
        <f t="shared" si="8"/>
        <v>24.57542719655471</v>
      </c>
      <c r="AV30" s="18">
        <f t="shared" si="9"/>
        <v>-0.17476351444561544</v>
      </c>
      <c r="AX30" s="18">
        <f t="shared" si="10"/>
        <v>22.730511035224005</v>
      </c>
      <c r="AY30" s="18">
        <f t="shared" si="11"/>
        <v>1.8449161613307048</v>
      </c>
      <c r="BA30" s="17">
        <f t="shared" si="12"/>
        <v>905</v>
      </c>
      <c r="BB30" s="17">
        <f t="shared" si="13"/>
        <v>1995</v>
      </c>
      <c r="BC30" s="5" t="str">
        <f t="shared" si="14"/>
        <v>30-35</v>
      </c>
      <c r="BD30" s="5" t="str">
        <f t="shared" si="15"/>
        <v>4EXP-4-6EXP-4</v>
      </c>
      <c r="BE30" s="5" t="str">
        <f t="shared" si="16"/>
        <v>900-1200</v>
      </c>
      <c r="BF30" s="5" t="str">
        <f t="shared" si="17"/>
        <v>1500-2000</v>
      </c>
      <c r="BG30" s="5" t="str">
        <f t="shared" si="18"/>
        <v>NW</v>
      </c>
      <c r="BH30" s="5" t="str">
        <f t="shared" si="19"/>
        <v>60-80</v>
      </c>
      <c r="BI30" s="5" t="str">
        <f t="shared" si="20"/>
        <v>30-32</v>
      </c>
      <c r="BK30" s="5">
        <f t="shared" si="21"/>
        <v>1</v>
      </c>
      <c r="BL30" s="5">
        <f t="shared" si="22"/>
        <v>0</v>
      </c>
      <c r="BM30" s="5">
        <f t="shared" si="23"/>
        <v>1</v>
      </c>
      <c r="BN30" s="5">
        <f t="shared" si="24"/>
        <v>1</v>
      </c>
      <c r="BO30" s="5">
        <f t="shared" si="25"/>
        <v>0</v>
      </c>
      <c r="BP30" s="5">
        <f t="shared" si="26"/>
        <v>0</v>
      </c>
      <c r="BQ30" s="5">
        <f t="shared" si="27"/>
        <v>1</v>
      </c>
      <c r="BR30" s="5">
        <f t="shared" si="28"/>
        <v>0</v>
      </c>
      <c r="BS30" s="5">
        <f t="shared" si="29"/>
        <v>1</v>
      </c>
      <c r="BU30" s="18">
        <f t="shared" si="30"/>
        <v>23.186034272074835</v>
      </c>
      <c r="BV30" s="18">
        <f t="shared" si="31"/>
        <v>1.3893929244798748</v>
      </c>
      <c r="BW30" s="18">
        <f t="shared" si="32"/>
        <v>-0.24060707552012506</v>
      </c>
      <c r="BX30" s="18">
        <f t="shared" si="33"/>
        <v>3.0193929244798747</v>
      </c>
      <c r="BY30" s="5" t="str">
        <f t="shared" si="34"/>
        <v/>
      </c>
      <c r="CB30" s="18"/>
      <c r="CC30" s="18"/>
    </row>
    <row r="31" spans="1:81" s="5" customFormat="1" ht="8.25" x14ac:dyDescent="0.15">
      <c r="A31" s="77" t="s">
        <v>292</v>
      </c>
      <c r="B31" s="2" t="str">
        <f>MID(A31,1,6)</f>
        <v>LDR065</v>
      </c>
      <c r="C31" s="1" t="s">
        <v>277</v>
      </c>
      <c r="D31" s="6">
        <v>2</v>
      </c>
      <c r="E31" s="7">
        <v>288</v>
      </c>
      <c r="F31" s="8">
        <f t="shared" si="36"/>
        <v>7</v>
      </c>
      <c r="G31" s="3">
        <v>2360</v>
      </c>
      <c r="H31" s="58">
        <v>2185</v>
      </c>
      <c r="I31" s="58">
        <v>127</v>
      </c>
      <c r="J31" s="45">
        <v>167</v>
      </c>
      <c r="K31" s="85">
        <f t="shared" si="0"/>
        <v>30.913275682128514</v>
      </c>
      <c r="L31" s="11">
        <f t="shared" si="1"/>
        <v>2.2225000000000001</v>
      </c>
      <c r="M31" s="10">
        <f t="shared" si="2"/>
        <v>2</v>
      </c>
      <c r="N31" s="4">
        <v>967</v>
      </c>
      <c r="O31" s="90">
        <f t="shared" si="3"/>
        <v>51.408825093035617</v>
      </c>
      <c r="P31" s="4">
        <v>3</v>
      </c>
      <c r="Q31" s="4">
        <v>1176</v>
      </c>
      <c r="R31" s="4"/>
      <c r="S31" s="4">
        <v>1176</v>
      </c>
      <c r="T31" s="85"/>
      <c r="U31" s="4"/>
      <c r="V31" s="4">
        <v>16</v>
      </c>
      <c r="W31" s="4">
        <v>1177</v>
      </c>
      <c r="X31" s="10">
        <f>DEGREES(ATAN((W31-S31)/V31))</f>
        <v>3.5763343749973511</v>
      </c>
      <c r="Y31" s="14">
        <f>S31</f>
        <v>1176</v>
      </c>
      <c r="Z31" s="12">
        <f>R31+V31-U31</f>
        <v>16</v>
      </c>
      <c r="AA31" s="46"/>
      <c r="AB31" s="46"/>
      <c r="AC31" s="85"/>
      <c r="AD31" s="13">
        <v>1881</v>
      </c>
      <c r="AE31" s="3">
        <f>6*(POWER(10,-5))*2</f>
        <v>1.2000000000000002E-4</v>
      </c>
      <c r="AF31" s="51">
        <f>G31-S31</f>
        <v>1184</v>
      </c>
      <c r="AG31" s="11">
        <f t="shared" si="4"/>
        <v>32.188462384084339</v>
      </c>
      <c r="AH31" s="50">
        <f t="shared" si="5"/>
        <v>32.409526197764968</v>
      </c>
      <c r="AI31" s="54"/>
      <c r="AJ31" s="4"/>
      <c r="AK31" s="4"/>
      <c r="AL31" s="75"/>
      <c r="AM31" s="75"/>
      <c r="AN31" s="57"/>
      <c r="AO31" s="4">
        <v>4</v>
      </c>
      <c r="AP31" s="13">
        <v>4</v>
      </c>
      <c r="AQ31" s="71">
        <f t="shared" si="6"/>
        <v>2</v>
      </c>
      <c r="AR31" s="47"/>
      <c r="AS31" s="47"/>
      <c r="AT31" s="18">
        <f t="shared" si="7"/>
        <v>32.409526197764968</v>
      </c>
      <c r="AU31" s="18">
        <f t="shared" si="8"/>
        <v>32.188462384084339</v>
      </c>
      <c r="AV31" s="18">
        <f t="shared" si="9"/>
        <v>0.22106381368062955</v>
      </c>
      <c r="AW31" s="47"/>
      <c r="AX31" s="18">
        <f t="shared" si="10"/>
        <v>29.634335172279023</v>
      </c>
      <c r="AY31" s="18">
        <f t="shared" si="11"/>
        <v>2.5541272118053158</v>
      </c>
      <c r="AZ31" s="47"/>
      <c r="BA31" s="17">
        <f t="shared" si="12"/>
        <v>1184</v>
      </c>
      <c r="BB31" s="17">
        <f t="shared" si="13"/>
        <v>1865</v>
      </c>
      <c r="BC31" s="5" t="str">
        <f t="shared" si="14"/>
        <v>30-35</v>
      </c>
      <c r="BD31" s="5" t="str">
        <f t="shared" si="15"/>
        <v>&lt;2EXP-4</v>
      </c>
      <c r="BE31" s="5" t="str">
        <f t="shared" si="16"/>
        <v>900-1200</v>
      </c>
      <c r="BF31" s="5" t="str">
        <f t="shared" si="17"/>
        <v>1500-2000</v>
      </c>
      <c r="BG31" s="5" t="str">
        <f t="shared" si="18"/>
        <v>NW</v>
      </c>
      <c r="BH31" s="5" t="str">
        <f t="shared" si="19"/>
        <v>40-60</v>
      </c>
      <c r="BI31" s="5" t="str">
        <f t="shared" si="20"/>
        <v>30-32</v>
      </c>
      <c r="BJ31" s="47"/>
      <c r="BK31" s="5">
        <f t="shared" si="21"/>
        <v>1</v>
      </c>
      <c r="BL31" s="5">
        <f t="shared" si="22"/>
        <v>0</v>
      </c>
      <c r="BM31" s="5">
        <f t="shared" si="23"/>
        <v>1</v>
      </c>
      <c r="BN31" s="5">
        <f t="shared" si="24"/>
        <v>1</v>
      </c>
      <c r="BO31" s="5">
        <f t="shared" si="25"/>
        <v>1</v>
      </c>
      <c r="BP31" s="5">
        <f t="shared" si="26"/>
        <v>1</v>
      </c>
      <c r="BQ31" s="5">
        <f t="shared" si="27"/>
        <v>1</v>
      </c>
      <c r="BR31" s="5">
        <f t="shared" si="28"/>
        <v>1</v>
      </c>
      <c r="BS31" s="5">
        <f t="shared" si="29"/>
        <v>1</v>
      </c>
      <c r="BT31" s="47"/>
      <c r="BU31" s="18">
        <f t="shared" si="30"/>
        <v>30.910285997074649</v>
      </c>
      <c r="BV31" s="18">
        <f t="shared" si="31"/>
        <v>1.2781763870096903</v>
      </c>
      <c r="BW31" s="18">
        <f t="shared" si="32"/>
        <v>-0.35182361299030962</v>
      </c>
      <c r="BX31" s="18">
        <f t="shared" si="33"/>
        <v>2.9081763870096902</v>
      </c>
      <c r="BY31" s="5" t="str">
        <f t="shared" si="34"/>
        <v/>
      </c>
      <c r="BZ31" s="47"/>
      <c r="CA31" s="47"/>
      <c r="CB31" s="18"/>
      <c r="CC31" s="18"/>
    </row>
    <row r="32" spans="1:81" s="5" customFormat="1" ht="8.25" x14ac:dyDescent="0.15">
      <c r="A32" s="77" t="s">
        <v>278</v>
      </c>
      <c r="B32" s="2" t="str">
        <f>MID(A32,1,6)</f>
        <v>LDR073</v>
      </c>
      <c r="C32" s="1" t="s">
        <v>279</v>
      </c>
      <c r="D32" s="6">
        <v>2</v>
      </c>
      <c r="E32" s="7">
        <v>275</v>
      </c>
      <c r="F32" s="8">
        <f t="shared" si="36"/>
        <v>7</v>
      </c>
      <c r="G32" s="3">
        <v>2350</v>
      </c>
      <c r="H32" s="58">
        <v>2227</v>
      </c>
      <c r="I32" s="58">
        <v>74</v>
      </c>
      <c r="J32" s="45">
        <v>131</v>
      </c>
      <c r="K32" s="85">
        <f t="shared" si="0"/>
        <v>37.356621928520433</v>
      </c>
      <c r="L32" s="11">
        <f t="shared" si="1"/>
        <v>0.91020000000000001</v>
      </c>
      <c r="M32" s="10">
        <f t="shared" si="2"/>
        <v>2</v>
      </c>
      <c r="N32" s="4">
        <v>1486</v>
      </c>
      <c r="O32" s="90">
        <f t="shared" si="3"/>
        <v>84.383872799545713</v>
      </c>
      <c r="P32" s="4">
        <v>3</v>
      </c>
      <c r="Q32" s="4">
        <v>1190</v>
      </c>
      <c r="R32" s="4"/>
      <c r="S32" s="4">
        <v>1190</v>
      </c>
      <c r="T32" s="85"/>
      <c r="U32" s="4"/>
      <c r="V32" s="4">
        <v>69</v>
      </c>
      <c r="W32" s="4">
        <v>1200</v>
      </c>
      <c r="X32" s="10">
        <f>DEGREES(ATAN((W32-S32)/V32))</f>
        <v>8.2463208144685307</v>
      </c>
      <c r="Y32" s="14">
        <v>1200</v>
      </c>
      <c r="Z32" s="12">
        <f>R32+V32-U32</f>
        <v>69</v>
      </c>
      <c r="AA32" s="46"/>
      <c r="AB32" s="46"/>
      <c r="AC32" s="85"/>
      <c r="AD32" s="13">
        <v>1761</v>
      </c>
      <c r="AE32" s="3">
        <f>1*(POWER(10,-4))*2</f>
        <v>2.0000000000000001E-4</v>
      </c>
      <c r="AF32" s="51">
        <f>G32-S32</f>
        <v>1160</v>
      </c>
      <c r="AG32" s="11">
        <f t="shared" si="4"/>
        <v>33.373561112483863</v>
      </c>
      <c r="AH32" s="50">
        <f t="shared" si="5"/>
        <v>34.433724362389484</v>
      </c>
      <c r="AI32" s="54"/>
      <c r="AJ32" s="4"/>
      <c r="AK32" s="4"/>
      <c r="AL32" s="75"/>
      <c r="AM32" s="75"/>
      <c r="AN32" s="57"/>
      <c r="AO32" s="4">
        <v>4</v>
      </c>
      <c r="AP32" s="13">
        <v>4</v>
      </c>
      <c r="AQ32" s="71">
        <f t="shared" si="6"/>
        <v>2</v>
      </c>
      <c r="AR32" s="47"/>
      <c r="AS32" s="47"/>
      <c r="AT32" s="18">
        <f t="shared" si="7"/>
        <v>34.433724362389484</v>
      </c>
      <c r="AU32" s="18">
        <f t="shared" si="8"/>
        <v>33.373561112483863</v>
      </c>
      <c r="AV32" s="18">
        <f t="shared" si="9"/>
        <v>1.0601632499056208</v>
      </c>
      <c r="AW32" s="47"/>
      <c r="AX32" s="18">
        <f t="shared" si="10"/>
        <v>31.312967759039903</v>
      </c>
      <c r="AY32" s="18">
        <f t="shared" si="11"/>
        <v>2.0605933534439593</v>
      </c>
      <c r="AZ32" s="47"/>
      <c r="BA32" s="17">
        <f t="shared" si="12"/>
        <v>1160</v>
      </c>
      <c r="BB32" s="17">
        <f t="shared" si="13"/>
        <v>1692</v>
      </c>
      <c r="BC32" s="5" t="str">
        <f t="shared" si="14"/>
        <v>35-40</v>
      </c>
      <c r="BD32" s="5" t="str">
        <f t="shared" si="15"/>
        <v>2EXP-4-4EXP-4</v>
      </c>
      <c r="BE32" s="5" t="str">
        <f t="shared" si="16"/>
        <v>900-1200</v>
      </c>
      <c r="BF32" s="5" t="str">
        <f t="shared" si="17"/>
        <v>1500-2000</v>
      </c>
      <c r="BG32" s="5" t="str">
        <f t="shared" si="18"/>
        <v>NW</v>
      </c>
      <c r="BH32" s="5" t="str">
        <f t="shared" si="19"/>
        <v>80-100</v>
      </c>
      <c r="BI32" s="5" t="str">
        <f t="shared" si="20"/>
        <v>36-38</v>
      </c>
      <c r="BJ32" s="47"/>
      <c r="BK32" s="5">
        <f t="shared" si="21"/>
        <v>1</v>
      </c>
      <c r="BL32" s="5">
        <f t="shared" si="22"/>
        <v>0</v>
      </c>
      <c r="BM32" s="5">
        <f t="shared" si="23"/>
        <v>1</v>
      </c>
      <c r="BN32" s="5">
        <f t="shared" si="24"/>
        <v>1</v>
      </c>
      <c r="BO32" s="5">
        <f t="shared" si="25"/>
        <v>1</v>
      </c>
      <c r="BP32" s="5">
        <f t="shared" si="26"/>
        <v>1</v>
      </c>
      <c r="BQ32" s="5">
        <f t="shared" si="27"/>
        <v>1</v>
      </c>
      <c r="BR32" s="5">
        <f t="shared" si="28"/>
        <v>0</v>
      </c>
      <c r="BS32" s="5">
        <f t="shared" si="29"/>
        <v>1</v>
      </c>
      <c r="BT32" s="47"/>
      <c r="BU32" s="18">
        <f t="shared" si="30"/>
        <v>33.765736006972496</v>
      </c>
      <c r="BV32" s="18">
        <f t="shared" si="31"/>
        <v>-0.39217489448863319</v>
      </c>
      <c r="BW32" s="18">
        <f t="shared" si="32"/>
        <v>-2.0221748944886331</v>
      </c>
      <c r="BX32" s="18">
        <f t="shared" si="33"/>
        <v>1.2378251055113667</v>
      </c>
      <c r="BY32" s="5" t="str">
        <f t="shared" si="34"/>
        <v/>
      </c>
      <c r="BZ32" s="47"/>
      <c r="CA32" s="47"/>
      <c r="CB32" s="18"/>
      <c r="CC32" s="18"/>
    </row>
    <row r="33" spans="1:81" s="5" customFormat="1" ht="8.25" x14ac:dyDescent="0.15">
      <c r="A33" s="77" t="s">
        <v>290</v>
      </c>
      <c r="B33" s="2" t="str">
        <f>MID(A33,1,6)</f>
        <v>LDR074</v>
      </c>
      <c r="C33" s="1" t="s">
        <v>265</v>
      </c>
      <c r="D33" s="6">
        <v>2</v>
      </c>
      <c r="E33" s="49">
        <v>330</v>
      </c>
      <c r="F33" s="8">
        <f t="shared" si="36"/>
        <v>8</v>
      </c>
      <c r="G33" s="47">
        <v>2440</v>
      </c>
      <c r="H33" s="58">
        <v>2286</v>
      </c>
      <c r="I33" s="58">
        <v>183</v>
      </c>
      <c r="J33" s="45">
        <v>116</v>
      </c>
      <c r="K33" s="85">
        <f t="shared" si="0"/>
        <v>40.763605200941164</v>
      </c>
      <c r="L33" s="11">
        <f t="shared" si="1"/>
        <v>2.8182</v>
      </c>
      <c r="M33" s="10">
        <f t="shared" si="2"/>
        <v>3</v>
      </c>
      <c r="N33" s="4">
        <v>1083</v>
      </c>
      <c r="O33" s="90">
        <f t="shared" si="3"/>
        <v>54.15</v>
      </c>
      <c r="P33" s="4">
        <v>3</v>
      </c>
      <c r="Q33" s="4">
        <v>1275</v>
      </c>
      <c r="R33" s="19"/>
      <c r="S33" s="19">
        <v>1275</v>
      </c>
      <c r="T33" s="85"/>
      <c r="U33" s="19"/>
      <c r="V33" s="4">
        <v>22</v>
      </c>
      <c r="W33" s="4">
        <v>1277</v>
      </c>
      <c r="X33" s="10">
        <f>DEGREES(ATAN((W33-S33)/V33))</f>
        <v>5.1944289077348058</v>
      </c>
      <c r="Y33" s="14">
        <v>1277</v>
      </c>
      <c r="Z33" s="12">
        <f>R33+V33-U33</f>
        <v>22</v>
      </c>
      <c r="AA33" s="46"/>
      <c r="AB33" s="46"/>
      <c r="AC33" s="85"/>
      <c r="AD33" s="53">
        <v>2000</v>
      </c>
      <c r="AE33" s="3">
        <f>1*(POWER(10,-5))*2</f>
        <v>2.0000000000000002E-5</v>
      </c>
      <c r="AF33" s="12">
        <f>G33-S33</f>
        <v>1165</v>
      </c>
      <c r="AG33" s="11">
        <f t="shared" si="4"/>
        <v>30.220799923831272</v>
      </c>
      <c r="AH33" s="50">
        <f t="shared" si="5"/>
        <v>30.49718186491117</v>
      </c>
      <c r="AI33" s="54"/>
      <c r="AJ33" s="4"/>
      <c r="AK33" s="4"/>
      <c r="AL33" s="75"/>
      <c r="AM33" s="75"/>
      <c r="AN33" s="57"/>
      <c r="AO33" s="4">
        <v>4</v>
      </c>
      <c r="AP33" s="13">
        <v>4</v>
      </c>
      <c r="AQ33" s="71">
        <f t="shared" si="6"/>
        <v>2</v>
      </c>
      <c r="AR33" s="47"/>
      <c r="AS33" s="47"/>
      <c r="AT33" s="18">
        <f t="shared" si="7"/>
        <v>30.49718186491117</v>
      </c>
      <c r="AU33" s="18">
        <f t="shared" si="8"/>
        <v>30.220799923831272</v>
      </c>
      <c r="AV33" s="18">
        <f t="shared" si="9"/>
        <v>0.27638194107989733</v>
      </c>
      <c r="AW33" s="47"/>
      <c r="AX33" s="18">
        <f t="shared" si="10"/>
        <v>27.3928300359816</v>
      </c>
      <c r="AY33" s="18">
        <f t="shared" si="11"/>
        <v>2.8279698878496724</v>
      </c>
      <c r="AZ33" s="47"/>
      <c r="BA33" s="17">
        <f t="shared" si="12"/>
        <v>1165</v>
      </c>
      <c r="BB33" s="17">
        <f t="shared" si="13"/>
        <v>1978</v>
      </c>
      <c r="BC33" s="5" t="str">
        <f t="shared" si="14"/>
        <v>40-45</v>
      </c>
      <c r="BD33" s="5" t="str">
        <f t="shared" si="15"/>
        <v>&lt;2EXP-4</v>
      </c>
      <c r="BE33" s="5" t="str">
        <f t="shared" si="16"/>
        <v>900-1200</v>
      </c>
      <c r="BF33" s="5" t="str">
        <f t="shared" si="17"/>
        <v>2000-2500</v>
      </c>
      <c r="BG33" s="5" t="str">
        <f t="shared" si="18"/>
        <v>NW</v>
      </c>
      <c r="BH33" s="5" t="str">
        <f t="shared" si="19"/>
        <v>40-60</v>
      </c>
      <c r="BI33" s="5" t="str">
        <f t="shared" si="20"/>
        <v>40-42</v>
      </c>
      <c r="BJ33" s="47"/>
      <c r="BK33" s="5">
        <f t="shared" si="21"/>
        <v>1</v>
      </c>
      <c r="BL33" s="5">
        <f t="shared" si="22"/>
        <v>0</v>
      </c>
      <c r="BM33" s="5">
        <f t="shared" si="23"/>
        <v>1</v>
      </c>
      <c r="BN33" s="5">
        <f t="shared" si="24"/>
        <v>1</v>
      </c>
      <c r="BO33" s="5">
        <f t="shared" si="25"/>
        <v>1</v>
      </c>
      <c r="BP33" s="5">
        <f t="shared" si="26"/>
        <v>0</v>
      </c>
      <c r="BQ33" s="5">
        <f t="shared" si="27"/>
        <v>1</v>
      </c>
      <c r="BR33" s="5">
        <f t="shared" si="28"/>
        <v>1</v>
      </c>
      <c r="BS33" s="5">
        <f t="shared" si="29"/>
        <v>1</v>
      </c>
      <c r="BT33" s="47"/>
      <c r="BU33" s="18">
        <f t="shared" si="30"/>
        <v>28.967460745691554</v>
      </c>
      <c r="BV33" s="18">
        <f t="shared" si="31"/>
        <v>1.2533391781397185</v>
      </c>
      <c r="BW33" s="18">
        <f t="shared" si="32"/>
        <v>-0.37666082186028138</v>
      </c>
      <c r="BX33" s="18">
        <f t="shared" si="33"/>
        <v>2.8833391781397184</v>
      </c>
      <c r="BY33" s="5" t="str">
        <f t="shared" si="34"/>
        <v/>
      </c>
      <c r="BZ33" s="47"/>
      <c r="CA33" s="47"/>
      <c r="CB33" s="18" t="str">
        <f>IF($BG33=CB$1,$AI33," ")</f>
        <v xml:space="preserve"> </v>
      </c>
      <c r="CC33" s="18"/>
    </row>
    <row r="34" spans="1:81" s="5" customFormat="1" ht="8.25" x14ac:dyDescent="0.15">
      <c r="A34" s="1" t="s">
        <v>227</v>
      </c>
      <c r="B34" s="2" t="str">
        <f>MID(A34,1,6)</f>
        <v>LSA028</v>
      </c>
      <c r="C34" s="1" t="s">
        <v>228</v>
      </c>
      <c r="D34" s="6">
        <v>2</v>
      </c>
      <c r="E34" s="7">
        <v>260</v>
      </c>
      <c r="F34" s="8">
        <f t="shared" si="36"/>
        <v>7</v>
      </c>
      <c r="G34" s="3">
        <v>2600</v>
      </c>
      <c r="H34" s="7">
        <v>2400</v>
      </c>
      <c r="I34" s="7">
        <v>169</v>
      </c>
      <c r="J34" s="3">
        <v>172</v>
      </c>
      <c r="K34" s="85">
        <f t="shared" ref="K34:K65" si="38">DEGREES(ATAN((100)/J34))</f>
        <v>30.173520029644333</v>
      </c>
      <c r="L34" s="11">
        <f t="shared" ref="L34:L65" si="39">((G34-H34)*I34)/10000</f>
        <v>3.38</v>
      </c>
      <c r="M34" s="10">
        <f t="shared" ref="M34:M65" si="40">IF((L34*10000)&lt;5000,1,IF((L34*10000)&lt;25000,2,IF((L34*10000)&lt;60000,3,4)))</f>
        <v>3</v>
      </c>
      <c r="N34" s="4">
        <v>1032</v>
      </c>
      <c r="O34" s="90">
        <f t="shared" ref="O34:O65" si="41">(N34/AD34)*100</f>
        <v>56.79691799669785</v>
      </c>
      <c r="P34" s="4">
        <v>1</v>
      </c>
      <c r="Q34" s="4">
        <v>1720</v>
      </c>
      <c r="R34" s="4"/>
      <c r="S34" s="4">
        <v>1732</v>
      </c>
      <c r="T34" s="85"/>
      <c r="U34" s="4">
        <v>35</v>
      </c>
      <c r="V34" s="4"/>
      <c r="W34" s="4"/>
      <c r="X34" s="10"/>
      <c r="Y34" s="14">
        <v>1732</v>
      </c>
      <c r="Z34" s="12">
        <f>R34+V34-U34</f>
        <v>-35</v>
      </c>
      <c r="AA34" s="4">
        <v>120</v>
      </c>
      <c r="AB34" s="4">
        <v>30</v>
      </c>
      <c r="AC34" s="86">
        <f>DEGREES(ATAN((AB34)/AA34))</f>
        <v>14.036243467926479</v>
      </c>
      <c r="AD34" s="13">
        <v>1817</v>
      </c>
      <c r="AE34" s="64">
        <f>0.00006*2</f>
        <v>1.2E-4</v>
      </c>
      <c r="AF34" s="12">
        <f>G34-S34</f>
        <v>868</v>
      </c>
      <c r="AG34" s="11">
        <f t="shared" ref="AG34:AG65" si="42">DEGREES(ATAN((AF34)/AD34))</f>
        <v>25.534296521467606</v>
      </c>
      <c r="AH34" s="11">
        <f t="shared" ref="AH34:AH65" si="43">DEGREES(ATAN((G34-Q34)/(AD34-Z34)))</f>
        <v>25.415290238355457</v>
      </c>
      <c r="AI34" s="15"/>
      <c r="AJ34" s="4"/>
      <c r="AK34" s="4"/>
      <c r="AL34" s="75"/>
      <c r="AM34" s="75"/>
      <c r="AN34" s="16"/>
      <c r="AO34" s="4">
        <v>4</v>
      </c>
      <c r="AP34" s="13">
        <v>5</v>
      </c>
      <c r="AQ34" s="71">
        <f t="shared" ref="AQ34:AQ65" si="44">IF(AP34=1,1,IF(AP34=2,1,IF(AP34=3,2,IF(AP34=4,2,IF(AP34=5,2,3)))))</f>
        <v>2</v>
      </c>
      <c r="AT34" s="18">
        <f t="shared" ref="AT34:AT65" si="45">AH34</f>
        <v>25.415290238355457</v>
      </c>
      <c r="AU34" s="18">
        <f t="shared" ref="AU34:AU65" si="46">AG34</f>
        <v>25.534296521467606</v>
      </c>
      <c r="AV34" s="18">
        <f t="shared" ref="AV34:AV65" si="47">AT34-AU34</f>
        <v>-0.11900628311214945</v>
      </c>
      <c r="AX34" s="18">
        <f t="shared" ref="AX34:AX65" si="48">(0.77*AT34)-(0.001*AD34)-(0.65*M34)+7.86</f>
        <v>23.662773483533702</v>
      </c>
      <c r="AY34" s="18">
        <f t="shared" ref="AY34:AY65" si="49">AU34-AX34</f>
        <v>1.8715230379339047</v>
      </c>
      <c r="BA34" s="17">
        <f t="shared" ref="BA34:BA65" si="50">G34-Q34</f>
        <v>880</v>
      </c>
      <c r="BB34" s="17">
        <f t="shared" ref="BB34:BB65" si="51">AD34-Z34</f>
        <v>1852</v>
      </c>
      <c r="BC34" s="5" t="str">
        <f t="shared" ref="BC34:BC65" si="52">IF(K34&lt;30,"25-30",IF(K34&lt;35,"30-35",IF(K34&lt;40,"35-40","40-45")))</f>
        <v>30-35</v>
      </c>
      <c r="BD34" s="5" t="str">
        <f t="shared" ref="BD34:BD65" si="53">IF(AE34&lt;0.0002,"&lt;2EXP-4",IF(AE34&lt;0.0004,"2EXP-4-4EXP-4",IF(AE34&lt;0.0006,"4EXP-4-6EXP-4","6EXP-4-8EXP-4")))</f>
        <v>&lt;2EXP-4</v>
      </c>
      <c r="BE34" s="5" t="str">
        <f t="shared" ref="BE34:BE65" si="54">IF(BA34&lt;600,"300-600",IF(AF34&lt;900,"600-900",IF(AF34&lt;1200,"900-1200","1200-1500")))</f>
        <v>600-900</v>
      </c>
      <c r="BF34" s="5" t="str">
        <f t="shared" ref="BF34:BF65" si="55">IF(BB34&lt;1000,"500-1000",IF(AD34&lt;1500,"1000-1500",IF(AD34&lt;2000,"1500-2000",IF(AD34&lt;2500,"2000-2500","&gt;2500"))))</f>
        <v>1500-2000</v>
      </c>
      <c r="BG34" s="5" t="str">
        <f t="shared" ref="BG34:BG65" si="56">IF(E34&lt;45,"NW",IF(E34&lt;225,"SE","NW"))</f>
        <v>NW</v>
      </c>
      <c r="BH34" s="5" t="str">
        <f t="shared" ref="BH34:BH65" si="57">IF(O34&lt;20,"0-20",IF(O34&lt;40,"20-40",IF(O34&lt;60,"40-60",IF(O34&lt;80,"60-80","80-100"))))</f>
        <v>40-60</v>
      </c>
      <c r="BI34" s="5" t="str">
        <f t="shared" ref="BI34:BI65" si="58">IF(K34&lt;30,"25-30",IF(K34&lt;33,"30-32",IF(K34&lt;34,"32-34",IF(K34&lt;36,"34-36",IF(K34&lt;38,"36-38",IF(K34&lt;40,"38-40",IF(K34&lt;42,"40-42","&gt;42")))))))</f>
        <v>30-32</v>
      </c>
      <c r="BK34" s="5">
        <f t="shared" ref="BK34:BK65" si="59">IF(K34&lt;30.1,0,1)</f>
        <v>1</v>
      </c>
      <c r="BL34" s="5">
        <f t="shared" ref="BL34:BL65" si="60">IF(AE34&lt;0.0006,0,1)</f>
        <v>0</v>
      </c>
      <c r="BM34" s="5">
        <f t="shared" ref="BM34:BM65" si="61">IF(BA34&lt;601,0,1)</f>
        <v>1</v>
      </c>
      <c r="BN34" s="5">
        <f t="shared" ref="BN34:BN65" si="62">IF(BB34&lt;2501,1,0)</f>
        <v>1</v>
      </c>
      <c r="BO34" s="5">
        <f t="shared" ref="BO34:BO65" si="63">IF(P34=1,0,IF(P34=4,0,1))</f>
        <v>0</v>
      </c>
      <c r="BP34" s="5">
        <f t="shared" ref="BP34:BP65" si="64">IF(M34&lt;2.5,1,0)</f>
        <v>0</v>
      </c>
      <c r="BQ34" s="5">
        <f t="shared" ref="BQ34:BQ65" si="65">IF(E34&lt;45,1,IF(E34&lt;225,0,1))</f>
        <v>1</v>
      </c>
      <c r="BR34" s="5">
        <f t="shared" ref="BR34:BR65" si="66">IF(O34&lt;60,1,0)</f>
        <v>1</v>
      </c>
      <c r="BS34" s="5">
        <f t="shared" ref="BS34:BS65" si="67">IF(AQ34=2,1,0)</f>
        <v>1</v>
      </c>
      <c r="BU34" s="18">
        <f t="shared" ref="BU34:BU65" si="68">0.614+(0.91*(AT34))+(0.001*(BB34))-((LN(L34))*1.329)</f>
        <v>23.975357298984708</v>
      </c>
      <c r="BV34" s="18">
        <f t="shared" ref="BV34:BV65" si="69">AU34-BU34</f>
        <v>1.5589392224828984</v>
      </c>
      <c r="BW34" s="18">
        <f t="shared" ref="BW34:BW65" si="70">BV34-1.63</f>
        <v>-7.1060777517101492E-2</v>
      </c>
      <c r="BX34" s="18">
        <f t="shared" ref="BX34:BX65" si="71">BV34+1.63</f>
        <v>3.1889392224828983</v>
      </c>
      <c r="BY34" s="5" t="str">
        <f t="shared" ref="BY34:BY65" si="72">IF(BW34&gt;0,1,IF(BX34&lt;0,0,""))</f>
        <v/>
      </c>
      <c r="CB34" s="18"/>
      <c r="CC34" s="18"/>
    </row>
    <row r="35" spans="1:81" s="5" customFormat="1" ht="8.25" x14ac:dyDescent="0.15">
      <c r="A35" s="1" t="s">
        <v>56</v>
      </c>
      <c r="B35" s="2" t="s">
        <v>57</v>
      </c>
      <c r="C35" s="1" t="s">
        <v>58</v>
      </c>
      <c r="D35" s="6">
        <v>2</v>
      </c>
      <c r="E35" s="7">
        <v>268</v>
      </c>
      <c r="F35" s="8">
        <f t="shared" si="36"/>
        <v>7</v>
      </c>
      <c r="G35" s="3">
        <v>2655</v>
      </c>
      <c r="H35" s="7">
        <v>2500</v>
      </c>
      <c r="I35" s="7">
        <v>200</v>
      </c>
      <c r="J35" s="3">
        <v>207</v>
      </c>
      <c r="K35" s="85">
        <f t="shared" si="38"/>
        <v>25.784806694477616</v>
      </c>
      <c r="L35" s="11">
        <f t="shared" si="39"/>
        <v>3.1</v>
      </c>
      <c r="M35" s="10">
        <f t="shared" si="40"/>
        <v>3</v>
      </c>
      <c r="N35" s="4">
        <v>1134</v>
      </c>
      <c r="O35" s="90">
        <f t="shared" si="41"/>
        <v>55.236239649293715</v>
      </c>
      <c r="P35" s="4">
        <v>1</v>
      </c>
      <c r="Q35" s="4">
        <v>1790</v>
      </c>
      <c r="R35" s="4">
        <v>64</v>
      </c>
      <c r="S35" s="4">
        <v>1780</v>
      </c>
      <c r="T35" s="85">
        <f t="shared" ref="T35:T40" si="73">DEGREES(ATAN((Q35-S35)/R35))</f>
        <v>8.8806591505202448</v>
      </c>
      <c r="U35" s="19"/>
      <c r="V35" s="19"/>
      <c r="W35" s="19"/>
      <c r="X35" s="10"/>
      <c r="Y35" s="14">
        <v>1780</v>
      </c>
      <c r="Z35" s="12">
        <v>64</v>
      </c>
      <c r="AA35" s="4"/>
      <c r="AB35" s="4"/>
      <c r="AC35" s="86">
        <v>8.8806591505202448</v>
      </c>
      <c r="AD35" s="13">
        <v>2053</v>
      </c>
      <c r="AE35" s="64">
        <f>0.00006*2</f>
        <v>1.2E-4</v>
      </c>
      <c r="AF35" s="12">
        <v>875</v>
      </c>
      <c r="AG35" s="11">
        <f t="shared" si="42"/>
        <v>23.083972138452872</v>
      </c>
      <c r="AH35" s="11">
        <f t="shared" si="43"/>
        <v>23.503832122571556</v>
      </c>
      <c r="AI35" s="15"/>
      <c r="AJ35" s="4"/>
      <c r="AK35" s="4"/>
      <c r="AL35" s="75"/>
      <c r="AM35" s="75"/>
      <c r="AN35" s="16"/>
      <c r="AO35" s="4">
        <v>4</v>
      </c>
      <c r="AP35" s="13">
        <v>5</v>
      </c>
      <c r="AQ35" s="71">
        <f t="shared" si="44"/>
        <v>2</v>
      </c>
      <c r="AT35" s="18">
        <f t="shared" si="45"/>
        <v>23.503832122571556</v>
      </c>
      <c r="AU35" s="18">
        <f t="shared" si="46"/>
        <v>23.083972138452872</v>
      </c>
      <c r="AV35" s="18">
        <f t="shared" si="47"/>
        <v>0.41985998411868408</v>
      </c>
      <c r="AX35" s="18">
        <f t="shared" si="48"/>
        <v>21.954950734380098</v>
      </c>
      <c r="AY35" s="18">
        <f t="shared" si="49"/>
        <v>1.1290214040727733</v>
      </c>
      <c r="BA35" s="17">
        <f t="shared" si="50"/>
        <v>865</v>
      </c>
      <c r="BB35" s="17">
        <f t="shared" si="51"/>
        <v>1989</v>
      </c>
      <c r="BC35" s="5" t="str">
        <f t="shared" si="52"/>
        <v>25-30</v>
      </c>
      <c r="BD35" s="5" t="str">
        <f t="shared" si="53"/>
        <v>&lt;2EXP-4</v>
      </c>
      <c r="BE35" s="5" t="str">
        <f t="shared" si="54"/>
        <v>600-900</v>
      </c>
      <c r="BF35" s="5" t="str">
        <f t="shared" si="55"/>
        <v>2000-2500</v>
      </c>
      <c r="BG35" s="5" t="str">
        <f t="shared" si="56"/>
        <v>NW</v>
      </c>
      <c r="BH35" s="5" t="str">
        <f t="shared" si="57"/>
        <v>40-60</v>
      </c>
      <c r="BI35" s="5" t="str">
        <f t="shared" si="58"/>
        <v>25-30</v>
      </c>
      <c r="BK35" s="5">
        <f t="shared" si="59"/>
        <v>0</v>
      </c>
      <c r="BL35" s="5">
        <f t="shared" si="60"/>
        <v>0</v>
      </c>
      <c r="BM35" s="5">
        <f t="shared" si="61"/>
        <v>1</v>
      </c>
      <c r="BN35" s="5">
        <f t="shared" si="62"/>
        <v>1</v>
      </c>
      <c r="BO35" s="5">
        <f t="shared" si="63"/>
        <v>0</v>
      </c>
      <c r="BP35" s="5">
        <f t="shared" si="64"/>
        <v>0</v>
      </c>
      <c r="BQ35" s="5">
        <f t="shared" si="65"/>
        <v>1</v>
      </c>
      <c r="BR35" s="5">
        <f t="shared" si="66"/>
        <v>1</v>
      </c>
      <c r="BS35" s="5">
        <f t="shared" si="67"/>
        <v>1</v>
      </c>
      <c r="BU35" s="18">
        <f t="shared" si="68"/>
        <v>22.487853825368443</v>
      </c>
      <c r="BV35" s="18">
        <f t="shared" si="69"/>
        <v>0.59611831308442831</v>
      </c>
      <c r="BW35" s="18">
        <f t="shared" si="70"/>
        <v>-1.0338816869155716</v>
      </c>
      <c r="BX35" s="18">
        <f t="shared" si="71"/>
        <v>2.2261183130844282</v>
      </c>
      <c r="BY35" s="5" t="str">
        <f t="shared" si="72"/>
        <v/>
      </c>
      <c r="CB35" s="18"/>
      <c r="CC35" s="18"/>
    </row>
    <row r="36" spans="1:81" s="5" customFormat="1" ht="8.25" x14ac:dyDescent="0.15">
      <c r="A36" s="1" t="s">
        <v>59</v>
      </c>
      <c r="B36" s="2" t="s">
        <v>60</v>
      </c>
      <c r="C36" s="1" t="s">
        <v>61</v>
      </c>
      <c r="D36" s="6">
        <v>2</v>
      </c>
      <c r="E36" s="7">
        <v>140</v>
      </c>
      <c r="F36" s="8">
        <f t="shared" si="36"/>
        <v>4</v>
      </c>
      <c r="G36" s="3">
        <v>2630</v>
      </c>
      <c r="H36" s="7">
        <v>2400</v>
      </c>
      <c r="I36" s="7">
        <v>404</v>
      </c>
      <c r="J36" s="3">
        <v>114</v>
      </c>
      <c r="K36" s="85">
        <f t="shared" si="38"/>
        <v>41.257011704312866</v>
      </c>
      <c r="L36" s="11">
        <f t="shared" si="39"/>
        <v>9.2919999999999998</v>
      </c>
      <c r="M36" s="10">
        <f t="shared" si="40"/>
        <v>4</v>
      </c>
      <c r="N36" s="4">
        <v>2212</v>
      </c>
      <c r="O36" s="90">
        <f t="shared" si="41"/>
        <v>82.261063592413535</v>
      </c>
      <c r="P36" s="4">
        <v>1</v>
      </c>
      <c r="Q36" s="4">
        <v>1470</v>
      </c>
      <c r="R36" s="4">
        <v>148</v>
      </c>
      <c r="S36" s="4">
        <v>1452</v>
      </c>
      <c r="T36" s="85">
        <f t="shared" si="73"/>
        <v>6.9343489012695594</v>
      </c>
      <c r="U36" s="4"/>
      <c r="V36" s="4"/>
      <c r="W36" s="4"/>
      <c r="X36" s="10"/>
      <c r="Y36" s="14">
        <v>1452</v>
      </c>
      <c r="Z36" s="12">
        <v>148</v>
      </c>
      <c r="AA36" s="4"/>
      <c r="AB36" s="4"/>
      <c r="AC36" s="86">
        <v>6.9343489012695594</v>
      </c>
      <c r="AD36" s="13">
        <v>2689</v>
      </c>
      <c r="AE36" s="64">
        <f>0.0001*2</f>
        <v>2.0000000000000001E-4</v>
      </c>
      <c r="AF36" s="12">
        <v>1178</v>
      </c>
      <c r="AG36" s="11">
        <f t="shared" si="42"/>
        <v>23.657315986445802</v>
      </c>
      <c r="AH36" s="11">
        <f t="shared" si="43"/>
        <v>24.537322831253238</v>
      </c>
      <c r="AI36" s="15"/>
      <c r="AJ36" s="4"/>
      <c r="AK36" s="4"/>
      <c r="AL36" s="75"/>
      <c r="AM36" s="75"/>
      <c r="AN36" s="16" t="s">
        <v>62</v>
      </c>
      <c r="AO36" s="4">
        <v>4</v>
      </c>
      <c r="AP36" s="13">
        <v>3</v>
      </c>
      <c r="AQ36" s="71">
        <f t="shared" si="44"/>
        <v>2</v>
      </c>
      <c r="AT36" s="18">
        <f t="shared" si="45"/>
        <v>24.537322831253238</v>
      </c>
      <c r="AU36" s="18">
        <f t="shared" si="46"/>
        <v>23.657315986445802</v>
      </c>
      <c r="AV36" s="18">
        <f t="shared" si="47"/>
        <v>0.88000684480743629</v>
      </c>
      <c r="AX36" s="18">
        <f t="shared" si="48"/>
        <v>21.464738580064996</v>
      </c>
      <c r="AY36" s="18">
        <f t="shared" si="49"/>
        <v>2.1925774063808063</v>
      </c>
      <c r="BA36" s="17">
        <f t="shared" si="50"/>
        <v>1160</v>
      </c>
      <c r="BB36" s="17">
        <f t="shared" si="51"/>
        <v>2541</v>
      </c>
      <c r="BC36" s="5" t="str">
        <f t="shared" si="52"/>
        <v>40-45</v>
      </c>
      <c r="BD36" s="5" t="str">
        <f t="shared" si="53"/>
        <v>2EXP-4-4EXP-4</v>
      </c>
      <c r="BE36" s="5" t="str">
        <f t="shared" si="54"/>
        <v>900-1200</v>
      </c>
      <c r="BF36" s="5" t="str">
        <f t="shared" si="55"/>
        <v>&gt;2500</v>
      </c>
      <c r="BG36" s="5" t="str">
        <f t="shared" si="56"/>
        <v>SE</v>
      </c>
      <c r="BH36" s="5" t="str">
        <f t="shared" si="57"/>
        <v>80-100</v>
      </c>
      <c r="BI36" s="5" t="str">
        <f t="shared" si="58"/>
        <v>40-42</v>
      </c>
      <c r="BK36" s="5">
        <f t="shared" si="59"/>
        <v>1</v>
      </c>
      <c r="BL36" s="5">
        <f t="shared" si="60"/>
        <v>0</v>
      </c>
      <c r="BM36" s="5">
        <f t="shared" si="61"/>
        <v>1</v>
      </c>
      <c r="BN36" s="5">
        <f t="shared" si="62"/>
        <v>0</v>
      </c>
      <c r="BO36" s="5">
        <f t="shared" si="63"/>
        <v>0</v>
      </c>
      <c r="BP36" s="5">
        <f t="shared" si="64"/>
        <v>0</v>
      </c>
      <c r="BQ36" s="5">
        <f t="shared" si="65"/>
        <v>0</v>
      </c>
      <c r="BR36" s="5">
        <f t="shared" si="66"/>
        <v>0</v>
      </c>
      <c r="BS36" s="5">
        <f t="shared" si="67"/>
        <v>1</v>
      </c>
      <c r="BU36" s="18">
        <f t="shared" si="68"/>
        <v>22.5214183564275</v>
      </c>
      <c r="BV36" s="18">
        <f t="shared" si="69"/>
        <v>1.1358976300183024</v>
      </c>
      <c r="BW36" s="18">
        <f t="shared" si="70"/>
        <v>-0.49410236998169754</v>
      </c>
      <c r="BX36" s="18">
        <f t="shared" si="71"/>
        <v>2.7658976300183022</v>
      </c>
      <c r="BY36" s="5" t="str">
        <f t="shared" si="72"/>
        <v/>
      </c>
      <c r="CB36" s="18"/>
      <c r="CC36" s="18"/>
    </row>
    <row r="37" spans="1:81" s="5" customFormat="1" ht="8.25" x14ac:dyDescent="0.15">
      <c r="A37" s="1" t="s">
        <v>189</v>
      </c>
      <c r="B37" s="2" t="str">
        <f>MID(A37,1,6)</f>
        <v>MOL043</v>
      </c>
      <c r="C37" s="1" t="s">
        <v>190</v>
      </c>
      <c r="D37" s="6">
        <v>2</v>
      </c>
      <c r="E37" s="7">
        <v>260</v>
      </c>
      <c r="F37" s="8">
        <f t="shared" si="36"/>
        <v>7</v>
      </c>
      <c r="G37" s="3">
        <v>2550</v>
      </c>
      <c r="H37" s="7">
        <v>2250</v>
      </c>
      <c r="I37" s="7">
        <v>99</v>
      </c>
      <c r="J37" s="3">
        <v>125</v>
      </c>
      <c r="K37" s="85">
        <f t="shared" si="38"/>
        <v>38.659808254090095</v>
      </c>
      <c r="L37" s="11">
        <f t="shared" si="39"/>
        <v>2.97</v>
      </c>
      <c r="M37" s="10">
        <f t="shared" si="40"/>
        <v>3</v>
      </c>
      <c r="N37" s="4">
        <v>1036</v>
      </c>
      <c r="O37" s="90">
        <f t="shared" si="41"/>
        <v>53.347064881565402</v>
      </c>
      <c r="P37" s="4">
        <v>4</v>
      </c>
      <c r="Q37" s="4">
        <v>1645</v>
      </c>
      <c r="R37" s="4">
        <v>133</v>
      </c>
      <c r="S37" s="4">
        <v>1630</v>
      </c>
      <c r="T37" s="85">
        <f t="shared" si="73"/>
        <v>6.4347391510367187</v>
      </c>
      <c r="U37" s="4"/>
      <c r="V37" s="4">
        <v>30</v>
      </c>
      <c r="W37" s="4">
        <v>1633</v>
      </c>
      <c r="X37" s="10">
        <f>DEGREES(ATAN((W37-S37)/V37))</f>
        <v>5.710593137499643</v>
      </c>
      <c r="Y37" s="14">
        <v>1633</v>
      </c>
      <c r="Z37" s="12">
        <f>R37+V37-U37</f>
        <v>163</v>
      </c>
      <c r="AA37" s="4"/>
      <c r="AB37" s="4"/>
      <c r="AC37" s="86">
        <f>T37</f>
        <v>6.4347391510367187</v>
      </c>
      <c r="AD37" s="13">
        <v>1942</v>
      </c>
      <c r="AE37" s="64">
        <f>0.0002*2</f>
        <v>4.0000000000000002E-4</v>
      </c>
      <c r="AF37" s="12">
        <f>G37-S37</f>
        <v>920</v>
      </c>
      <c r="AG37" s="11">
        <f t="shared" si="42"/>
        <v>25.348712387981294</v>
      </c>
      <c r="AH37" s="11">
        <f t="shared" si="43"/>
        <v>26.963021287056456</v>
      </c>
      <c r="AI37" s="15"/>
      <c r="AJ37" s="4"/>
      <c r="AK37" s="4"/>
      <c r="AL37" s="75"/>
      <c r="AM37" s="75"/>
      <c r="AN37" s="16"/>
      <c r="AO37" s="4">
        <v>4</v>
      </c>
      <c r="AP37" s="13">
        <v>3</v>
      </c>
      <c r="AQ37" s="71">
        <f t="shared" si="44"/>
        <v>2</v>
      </c>
      <c r="AT37" s="18">
        <f t="shared" si="45"/>
        <v>26.963021287056456</v>
      </c>
      <c r="AU37" s="18">
        <f t="shared" si="46"/>
        <v>25.348712387981294</v>
      </c>
      <c r="AV37" s="18">
        <f t="shared" si="47"/>
        <v>1.6143088990751622</v>
      </c>
      <c r="AX37" s="18">
        <f t="shared" si="48"/>
        <v>24.72952639103347</v>
      </c>
      <c r="AY37" s="18">
        <f t="shared" si="49"/>
        <v>0.61918599694782372</v>
      </c>
      <c r="BA37" s="17">
        <f t="shared" si="50"/>
        <v>905</v>
      </c>
      <c r="BB37" s="17">
        <f t="shared" si="51"/>
        <v>1779</v>
      </c>
      <c r="BC37" s="5" t="str">
        <f t="shared" si="52"/>
        <v>35-40</v>
      </c>
      <c r="BD37" s="5" t="str">
        <f t="shared" si="53"/>
        <v>4EXP-4-6EXP-4</v>
      </c>
      <c r="BE37" s="5" t="str">
        <f t="shared" si="54"/>
        <v>900-1200</v>
      </c>
      <c r="BF37" s="5" t="str">
        <f t="shared" si="55"/>
        <v>1500-2000</v>
      </c>
      <c r="BG37" s="5" t="str">
        <f t="shared" si="56"/>
        <v>NW</v>
      </c>
      <c r="BH37" s="5" t="str">
        <f t="shared" si="57"/>
        <v>40-60</v>
      </c>
      <c r="BI37" s="5" t="str">
        <f t="shared" si="58"/>
        <v>38-40</v>
      </c>
      <c r="BK37" s="5">
        <f t="shared" si="59"/>
        <v>1</v>
      </c>
      <c r="BL37" s="5">
        <f t="shared" si="60"/>
        <v>0</v>
      </c>
      <c r="BM37" s="5">
        <f t="shared" si="61"/>
        <v>1</v>
      </c>
      <c r="BN37" s="5">
        <f t="shared" si="62"/>
        <v>1</v>
      </c>
      <c r="BO37" s="5">
        <f t="shared" si="63"/>
        <v>0</v>
      </c>
      <c r="BP37" s="5">
        <f t="shared" si="64"/>
        <v>0</v>
      </c>
      <c r="BQ37" s="5">
        <f t="shared" si="65"/>
        <v>1</v>
      </c>
      <c r="BR37" s="5">
        <f t="shared" si="66"/>
        <v>1</v>
      </c>
      <c r="BS37" s="5">
        <f t="shared" si="67"/>
        <v>1</v>
      </c>
      <c r="BU37" s="18">
        <f t="shared" si="68"/>
        <v>25.482650535930762</v>
      </c>
      <c r="BV37" s="18">
        <f t="shared" si="69"/>
        <v>-0.13393814794946834</v>
      </c>
      <c r="BW37" s="18">
        <f t="shared" si="70"/>
        <v>-1.7639381479494682</v>
      </c>
      <c r="BX37" s="18">
        <f t="shared" si="71"/>
        <v>1.4960618520505315</v>
      </c>
      <c r="BY37" s="5" t="str">
        <f t="shared" si="72"/>
        <v/>
      </c>
      <c r="CB37" s="18"/>
      <c r="CC37" s="18"/>
    </row>
    <row r="38" spans="1:81" s="5" customFormat="1" ht="8.25" x14ac:dyDescent="0.15">
      <c r="A38" s="1" t="s">
        <v>63</v>
      </c>
      <c r="B38" s="2" t="s">
        <v>64</v>
      </c>
      <c r="C38" s="1" t="s">
        <v>65</v>
      </c>
      <c r="D38" s="6">
        <v>2</v>
      </c>
      <c r="E38" s="7">
        <v>270</v>
      </c>
      <c r="F38" s="8">
        <f t="shared" si="36"/>
        <v>7</v>
      </c>
      <c r="G38" s="3">
        <v>2375</v>
      </c>
      <c r="H38" s="7">
        <v>2200</v>
      </c>
      <c r="I38" s="7">
        <v>200</v>
      </c>
      <c r="J38" s="3">
        <v>150</v>
      </c>
      <c r="K38" s="85">
        <f t="shared" si="38"/>
        <v>33.690067525979785</v>
      </c>
      <c r="L38" s="11">
        <f t="shared" si="39"/>
        <v>3.5</v>
      </c>
      <c r="M38" s="10">
        <f t="shared" si="40"/>
        <v>3</v>
      </c>
      <c r="N38" s="4">
        <v>604</v>
      </c>
      <c r="O38" s="90">
        <f t="shared" si="41"/>
        <v>49.346405228758172</v>
      </c>
      <c r="P38" s="4">
        <v>1</v>
      </c>
      <c r="Q38" s="4">
        <v>1620</v>
      </c>
      <c r="R38" s="4">
        <v>49</v>
      </c>
      <c r="S38" s="4">
        <v>1614</v>
      </c>
      <c r="T38" s="85">
        <f t="shared" si="73"/>
        <v>6.9810574068297946</v>
      </c>
      <c r="U38" s="4"/>
      <c r="V38" s="4"/>
      <c r="W38" s="4"/>
      <c r="X38" s="10"/>
      <c r="Y38" s="14">
        <v>1614</v>
      </c>
      <c r="Z38" s="12">
        <v>49</v>
      </c>
      <c r="AA38" s="4"/>
      <c r="AB38" s="4"/>
      <c r="AC38" s="86">
        <v>6.9810574068297946</v>
      </c>
      <c r="AD38" s="13">
        <v>1224</v>
      </c>
      <c r="AE38" s="64">
        <f>0.0003*2</f>
        <v>5.9999999999999995E-4</v>
      </c>
      <c r="AF38" s="12">
        <v>761</v>
      </c>
      <c r="AG38" s="11">
        <f t="shared" si="42"/>
        <v>31.870540113328801</v>
      </c>
      <c r="AH38" s="11">
        <f t="shared" si="43"/>
        <v>32.72290194889198</v>
      </c>
      <c r="AI38" s="15"/>
      <c r="AJ38" s="4"/>
      <c r="AK38" s="4"/>
      <c r="AL38" s="75"/>
      <c r="AM38" s="75"/>
      <c r="AN38" s="16"/>
      <c r="AO38" s="4">
        <v>4</v>
      </c>
      <c r="AP38" s="13">
        <v>3</v>
      </c>
      <c r="AQ38" s="71">
        <f t="shared" si="44"/>
        <v>2</v>
      </c>
      <c r="AT38" s="18">
        <f t="shared" si="45"/>
        <v>32.72290194889198</v>
      </c>
      <c r="AU38" s="18">
        <f t="shared" si="46"/>
        <v>31.870540113328801</v>
      </c>
      <c r="AV38" s="18">
        <f t="shared" si="47"/>
        <v>0.85236183556317968</v>
      </c>
      <c r="AX38" s="18">
        <f t="shared" si="48"/>
        <v>29.882634500646827</v>
      </c>
      <c r="AY38" s="18">
        <f t="shared" si="49"/>
        <v>1.9879056126819741</v>
      </c>
      <c r="BA38" s="17">
        <f t="shared" si="50"/>
        <v>755</v>
      </c>
      <c r="BB38" s="17">
        <f t="shared" si="51"/>
        <v>1175</v>
      </c>
      <c r="BC38" s="5" t="str">
        <f t="shared" si="52"/>
        <v>30-35</v>
      </c>
      <c r="BD38" s="5" t="str">
        <f t="shared" si="53"/>
        <v>6EXP-4-8EXP-4</v>
      </c>
      <c r="BE38" s="5" t="str">
        <f t="shared" si="54"/>
        <v>600-900</v>
      </c>
      <c r="BF38" s="5" t="str">
        <f t="shared" si="55"/>
        <v>1000-1500</v>
      </c>
      <c r="BG38" s="5" t="str">
        <f t="shared" si="56"/>
        <v>NW</v>
      </c>
      <c r="BH38" s="5" t="str">
        <f t="shared" si="57"/>
        <v>40-60</v>
      </c>
      <c r="BI38" s="5" t="str">
        <f t="shared" si="58"/>
        <v>32-34</v>
      </c>
      <c r="BK38" s="5">
        <f t="shared" si="59"/>
        <v>1</v>
      </c>
      <c r="BL38" s="5">
        <f t="shared" si="60"/>
        <v>1</v>
      </c>
      <c r="BM38" s="5">
        <f t="shared" si="61"/>
        <v>1</v>
      </c>
      <c r="BN38" s="5">
        <f t="shared" si="62"/>
        <v>1</v>
      </c>
      <c r="BO38" s="5">
        <f t="shared" si="63"/>
        <v>0</v>
      </c>
      <c r="BP38" s="5">
        <f t="shared" si="64"/>
        <v>0</v>
      </c>
      <c r="BQ38" s="5">
        <f t="shared" si="65"/>
        <v>1</v>
      </c>
      <c r="BR38" s="5">
        <f t="shared" si="66"/>
        <v>1</v>
      </c>
      <c r="BS38" s="5">
        <f t="shared" si="67"/>
        <v>1</v>
      </c>
      <c r="BU38" s="18">
        <f t="shared" si="68"/>
        <v>29.90191878836136</v>
      </c>
      <c r="BV38" s="18">
        <f t="shared" si="69"/>
        <v>1.9686213249674402</v>
      </c>
      <c r="BW38" s="18">
        <f t="shared" si="70"/>
        <v>0.33862132496744035</v>
      </c>
      <c r="BX38" s="18">
        <f t="shared" si="71"/>
        <v>3.5986213249674401</v>
      </c>
      <c r="BY38" s="5">
        <f t="shared" si="72"/>
        <v>1</v>
      </c>
      <c r="CB38" s="18"/>
      <c r="CC38" s="18"/>
    </row>
    <row r="39" spans="1:81" s="5" customFormat="1" ht="8.25" x14ac:dyDescent="0.15">
      <c r="A39" s="77" t="s">
        <v>229</v>
      </c>
      <c r="B39" s="2" t="str">
        <f>MID(A39,1,6)</f>
        <v>NTR004</v>
      </c>
      <c r="C39" s="1" t="s">
        <v>230</v>
      </c>
      <c r="D39" s="6">
        <v>2</v>
      </c>
      <c r="E39" s="7">
        <v>130</v>
      </c>
      <c r="F39" s="8">
        <f t="shared" si="36"/>
        <v>4</v>
      </c>
      <c r="G39" s="3">
        <v>2650</v>
      </c>
      <c r="H39" s="58">
        <v>2568</v>
      </c>
      <c r="I39" s="58">
        <v>69</v>
      </c>
      <c r="J39" s="45">
        <v>199</v>
      </c>
      <c r="K39" s="85">
        <f t="shared" si="38"/>
        <v>26.680102788531915</v>
      </c>
      <c r="L39" s="11">
        <f t="shared" si="39"/>
        <v>0.56579999999999997</v>
      </c>
      <c r="M39" s="10">
        <f t="shared" si="40"/>
        <v>2</v>
      </c>
      <c r="N39" s="4">
        <v>418</v>
      </c>
      <c r="O39" s="90">
        <f t="shared" si="41"/>
        <v>22.705051602390007</v>
      </c>
      <c r="P39" s="4">
        <v>2</v>
      </c>
      <c r="Q39" s="4">
        <v>1620</v>
      </c>
      <c r="R39" s="4">
        <v>22</v>
      </c>
      <c r="S39" s="4">
        <v>1619</v>
      </c>
      <c r="T39" s="85">
        <f t="shared" si="73"/>
        <v>2.6025622024998061</v>
      </c>
      <c r="U39" s="4"/>
      <c r="V39" s="4">
        <v>25</v>
      </c>
      <c r="W39" s="4">
        <v>1621</v>
      </c>
      <c r="X39" s="10">
        <f>DEGREES(ATAN((W39-S39)/V39))</f>
        <v>4.5739212599008612</v>
      </c>
      <c r="Y39" s="14">
        <f>S39</f>
        <v>1619</v>
      </c>
      <c r="Z39" s="12">
        <f>R39+V39-U39</f>
        <v>47</v>
      </c>
      <c r="AA39" s="46"/>
      <c r="AB39" s="46"/>
      <c r="AC39" s="85"/>
      <c r="AD39" s="13">
        <v>1841</v>
      </c>
      <c r="AE39" s="3">
        <f>4*(POWER(10,-5))*2</f>
        <v>8.0000000000000007E-5</v>
      </c>
      <c r="AF39" s="51">
        <f>G39-S39</f>
        <v>1031</v>
      </c>
      <c r="AG39" s="11">
        <f t="shared" si="42"/>
        <v>29.24977401645415</v>
      </c>
      <c r="AH39" s="50">
        <f t="shared" si="43"/>
        <v>29.861685098643804</v>
      </c>
      <c r="AI39" s="54"/>
      <c r="AJ39" s="4"/>
      <c r="AK39" s="4"/>
      <c r="AL39" s="75"/>
      <c r="AM39" s="75"/>
      <c r="AN39" s="57"/>
      <c r="AO39" s="4">
        <v>4</v>
      </c>
      <c r="AP39" s="13">
        <v>3</v>
      </c>
      <c r="AQ39" s="71">
        <f t="shared" si="44"/>
        <v>2</v>
      </c>
      <c r="AR39" s="47"/>
      <c r="AS39" s="47"/>
      <c r="AT39" s="18">
        <f t="shared" si="45"/>
        <v>29.861685098643804</v>
      </c>
      <c r="AU39" s="18">
        <f t="shared" si="46"/>
        <v>29.24977401645415</v>
      </c>
      <c r="AV39" s="18">
        <f t="shared" si="47"/>
        <v>0.6119110821896534</v>
      </c>
      <c r="AW39" s="47"/>
      <c r="AX39" s="18">
        <f t="shared" si="48"/>
        <v>27.712497525955726</v>
      </c>
      <c r="AY39" s="18">
        <f t="shared" si="49"/>
        <v>1.5372764904984244</v>
      </c>
      <c r="AZ39" s="47"/>
      <c r="BA39" s="17">
        <f t="shared" si="50"/>
        <v>1030</v>
      </c>
      <c r="BB39" s="17">
        <f t="shared" si="51"/>
        <v>1794</v>
      </c>
      <c r="BC39" s="5" t="str">
        <f t="shared" si="52"/>
        <v>25-30</v>
      </c>
      <c r="BD39" s="5" t="str">
        <f t="shared" si="53"/>
        <v>&lt;2EXP-4</v>
      </c>
      <c r="BE39" s="5" t="str">
        <f t="shared" si="54"/>
        <v>900-1200</v>
      </c>
      <c r="BF39" s="5" t="str">
        <f t="shared" si="55"/>
        <v>1500-2000</v>
      </c>
      <c r="BG39" s="5" t="str">
        <f t="shared" si="56"/>
        <v>SE</v>
      </c>
      <c r="BH39" s="5" t="str">
        <f t="shared" si="57"/>
        <v>20-40</v>
      </c>
      <c r="BI39" s="5" t="str">
        <f t="shared" si="58"/>
        <v>25-30</v>
      </c>
      <c r="BJ39" s="47"/>
      <c r="BK39" s="5">
        <f t="shared" si="59"/>
        <v>0</v>
      </c>
      <c r="BL39" s="5">
        <f t="shared" si="60"/>
        <v>0</v>
      </c>
      <c r="BM39" s="5">
        <f t="shared" si="61"/>
        <v>1</v>
      </c>
      <c r="BN39" s="5">
        <f t="shared" si="62"/>
        <v>1</v>
      </c>
      <c r="BO39" s="5">
        <f t="shared" si="63"/>
        <v>1</v>
      </c>
      <c r="BP39" s="5">
        <f t="shared" si="64"/>
        <v>1</v>
      </c>
      <c r="BQ39" s="5">
        <f t="shared" si="65"/>
        <v>0</v>
      </c>
      <c r="BR39" s="5">
        <f t="shared" si="66"/>
        <v>1</v>
      </c>
      <c r="BS39" s="5">
        <f t="shared" si="67"/>
        <v>1</v>
      </c>
      <c r="BT39" s="47"/>
      <c r="BU39" s="18">
        <f t="shared" si="68"/>
        <v>30.339018369898263</v>
      </c>
      <c r="BV39" s="18">
        <f t="shared" si="69"/>
        <v>-1.0892443534441121</v>
      </c>
      <c r="BW39" s="18">
        <f t="shared" si="70"/>
        <v>-2.719244353444112</v>
      </c>
      <c r="BX39" s="18">
        <f t="shared" si="71"/>
        <v>0.54075564655588781</v>
      </c>
      <c r="BY39" s="5" t="str">
        <f t="shared" si="72"/>
        <v/>
      </c>
      <c r="BZ39" s="47"/>
      <c r="CA39" s="47"/>
      <c r="CB39" s="18"/>
      <c r="CC39" s="18"/>
    </row>
    <row r="40" spans="1:81" s="47" customFormat="1" ht="9" customHeight="1" x14ac:dyDescent="0.15">
      <c r="A40" s="1" t="s">
        <v>191</v>
      </c>
      <c r="B40" s="2" t="str">
        <f>MID(A40,1,6)</f>
        <v>NTR337</v>
      </c>
      <c r="C40" s="1" t="s">
        <v>192</v>
      </c>
      <c r="D40" s="6">
        <v>2</v>
      </c>
      <c r="E40" s="7">
        <v>60</v>
      </c>
      <c r="F40" s="8">
        <f t="shared" si="36"/>
        <v>2</v>
      </c>
      <c r="G40" s="3">
        <v>2520</v>
      </c>
      <c r="H40" s="7">
        <v>2300</v>
      </c>
      <c r="I40" s="7">
        <v>312</v>
      </c>
      <c r="J40" s="3">
        <v>148</v>
      </c>
      <c r="K40" s="85">
        <f t="shared" si="38"/>
        <v>34.045937356601662</v>
      </c>
      <c r="L40" s="11">
        <f t="shared" si="39"/>
        <v>6.8639999999999999</v>
      </c>
      <c r="M40" s="10">
        <f t="shared" si="40"/>
        <v>4</v>
      </c>
      <c r="N40" s="4">
        <v>1478</v>
      </c>
      <c r="O40" s="90">
        <f t="shared" si="41"/>
        <v>62.257792754844147</v>
      </c>
      <c r="P40" s="4">
        <v>4</v>
      </c>
      <c r="Q40" s="4">
        <v>1290</v>
      </c>
      <c r="R40" s="4">
        <v>56</v>
      </c>
      <c r="S40" s="4">
        <v>1284</v>
      </c>
      <c r="T40" s="85">
        <f t="shared" si="73"/>
        <v>6.1155035662854065</v>
      </c>
      <c r="U40" s="4"/>
      <c r="V40" s="4">
        <v>59</v>
      </c>
      <c r="W40" s="4">
        <v>1289</v>
      </c>
      <c r="X40" s="10">
        <f>DEGREES(ATAN((W40-S40)/V40))</f>
        <v>4.8440003750806788</v>
      </c>
      <c r="Y40" s="14">
        <f>S40</f>
        <v>1284</v>
      </c>
      <c r="Z40" s="12">
        <f>R40+V40-U40</f>
        <v>115</v>
      </c>
      <c r="AA40" s="4"/>
      <c r="AB40" s="4"/>
      <c r="AC40" s="86">
        <f>T40</f>
        <v>6.1155035662854065</v>
      </c>
      <c r="AD40" s="13">
        <v>2374</v>
      </c>
      <c r="AE40" s="64">
        <f>0.00007*2</f>
        <v>1.3999999999999999E-4</v>
      </c>
      <c r="AF40" s="12">
        <f>G40-S40</f>
        <v>1236</v>
      </c>
      <c r="AG40" s="11">
        <f t="shared" si="42"/>
        <v>27.503300589087726</v>
      </c>
      <c r="AH40" s="11">
        <f t="shared" si="43"/>
        <v>28.567793171375435</v>
      </c>
      <c r="AI40" s="15"/>
      <c r="AJ40" s="4"/>
      <c r="AK40" s="4"/>
      <c r="AL40" s="75"/>
      <c r="AM40" s="75"/>
      <c r="AN40" s="16"/>
      <c r="AO40" s="4">
        <v>4</v>
      </c>
      <c r="AP40" s="13">
        <v>3</v>
      </c>
      <c r="AQ40" s="71">
        <f t="shared" si="44"/>
        <v>2</v>
      </c>
      <c r="AR40" s="5"/>
      <c r="AS40" s="5"/>
      <c r="AT40" s="18">
        <f t="shared" si="45"/>
        <v>28.567793171375435</v>
      </c>
      <c r="AU40" s="18">
        <f t="shared" si="46"/>
        <v>27.503300589087726</v>
      </c>
      <c r="AV40" s="18">
        <f t="shared" si="47"/>
        <v>1.0644925822877092</v>
      </c>
      <c r="AW40" s="5"/>
      <c r="AX40" s="18">
        <f t="shared" si="48"/>
        <v>24.883200741959083</v>
      </c>
      <c r="AY40" s="18">
        <f t="shared" si="49"/>
        <v>2.6200998471286425</v>
      </c>
      <c r="AZ40" s="5"/>
      <c r="BA40" s="17">
        <f t="shared" si="50"/>
        <v>1230</v>
      </c>
      <c r="BB40" s="17">
        <f t="shared" si="51"/>
        <v>2259</v>
      </c>
      <c r="BC40" s="5" t="str">
        <f t="shared" si="52"/>
        <v>30-35</v>
      </c>
      <c r="BD40" s="5" t="str">
        <f t="shared" si="53"/>
        <v>&lt;2EXP-4</v>
      </c>
      <c r="BE40" s="5" t="str">
        <f t="shared" si="54"/>
        <v>1200-1500</v>
      </c>
      <c r="BF40" s="5" t="str">
        <f t="shared" si="55"/>
        <v>2000-2500</v>
      </c>
      <c r="BG40" s="5" t="str">
        <f t="shared" si="56"/>
        <v>SE</v>
      </c>
      <c r="BH40" s="5" t="str">
        <f t="shared" si="57"/>
        <v>60-80</v>
      </c>
      <c r="BI40" s="5" t="str">
        <f t="shared" si="58"/>
        <v>34-36</v>
      </c>
      <c r="BJ40" s="5"/>
      <c r="BK40" s="5">
        <f t="shared" si="59"/>
        <v>1</v>
      </c>
      <c r="BL40" s="5">
        <f t="shared" si="60"/>
        <v>0</v>
      </c>
      <c r="BM40" s="5">
        <f t="shared" si="61"/>
        <v>1</v>
      </c>
      <c r="BN40" s="5">
        <f t="shared" si="62"/>
        <v>1</v>
      </c>
      <c r="BO40" s="5">
        <f t="shared" si="63"/>
        <v>0</v>
      </c>
      <c r="BP40" s="5">
        <f t="shared" si="64"/>
        <v>0</v>
      </c>
      <c r="BQ40" s="5">
        <f t="shared" si="65"/>
        <v>0</v>
      </c>
      <c r="BR40" s="5">
        <f t="shared" si="66"/>
        <v>0</v>
      </c>
      <c r="BS40" s="5">
        <f t="shared" si="67"/>
        <v>1</v>
      </c>
      <c r="BT40" s="5"/>
      <c r="BU40" s="18">
        <f t="shared" si="68"/>
        <v>26.309651894606905</v>
      </c>
      <c r="BV40" s="18">
        <f t="shared" si="69"/>
        <v>1.1936486944808209</v>
      </c>
      <c r="BW40" s="18">
        <f t="shared" si="70"/>
        <v>-0.436351305519179</v>
      </c>
      <c r="BX40" s="18">
        <f t="shared" si="71"/>
        <v>2.8236486944808208</v>
      </c>
      <c r="BY40" s="5" t="str">
        <f t="shared" si="72"/>
        <v/>
      </c>
      <c r="BZ40" s="5"/>
      <c r="CA40" s="5"/>
      <c r="CB40" s="18"/>
      <c r="CC40" s="18"/>
    </row>
    <row r="41" spans="1:81" s="43" customFormat="1" ht="9" customHeight="1" x14ac:dyDescent="0.15">
      <c r="A41" s="68" t="s">
        <v>66</v>
      </c>
      <c r="B41" s="2" t="s">
        <v>67</v>
      </c>
      <c r="C41" s="1" t="s">
        <v>68</v>
      </c>
      <c r="D41" s="6">
        <v>2</v>
      </c>
      <c r="E41" s="7">
        <v>100</v>
      </c>
      <c r="F41" s="8">
        <f t="shared" si="36"/>
        <v>3</v>
      </c>
      <c r="G41" s="3">
        <v>2330</v>
      </c>
      <c r="H41" s="7">
        <v>2000</v>
      </c>
      <c r="I41" s="7">
        <v>349</v>
      </c>
      <c r="J41" s="3">
        <v>164</v>
      </c>
      <c r="K41" s="85">
        <f t="shared" si="38"/>
        <v>31.373005140108461</v>
      </c>
      <c r="L41" s="11">
        <f t="shared" si="39"/>
        <v>11.516999999999999</v>
      </c>
      <c r="M41" s="10">
        <f t="shared" si="40"/>
        <v>4</v>
      </c>
      <c r="N41" s="4">
        <v>1518</v>
      </c>
      <c r="O41" s="90">
        <f t="shared" si="41"/>
        <v>63.996627318718382</v>
      </c>
      <c r="P41" s="4">
        <v>1</v>
      </c>
      <c r="Q41" s="4">
        <v>1075</v>
      </c>
      <c r="R41" s="4"/>
      <c r="S41" s="4">
        <v>1120</v>
      </c>
      <c r="T41" s="85"/>
      <c r="U41" s="4">
        <v>103</v>
      </c>
      <c r="V41" s="4"/>
      <c r="W41" s="4"/>
      <c r="X41" s="10"/>
      <c r="Y41" s="14">
        <v>1120</v>
      </c>
      <c r="Z41" s="12">
        <v>-103</v>
      </c>
      <c r="AA41" s="4">
        <v>83</v>
      </c>
      <c r="AB41" s="4">
        <v>20</v>
      </c>
      <c r="AC41" s="86">
        <v>13.547938988000494</v>
      </c>
      <c r="AD41" s="13">
        <v>2372</v>
      </c>
      <c r="AE41" s="64">
        <f>0.00007*2</f>
        <v>1.3999999999999999E-4</v>
      </c>
      <c r="AF41" s="12">
        <v>1210</v>
      </c>
      <c r="AG41" s="11">
        <f t="shared" si="42"/>
        <v>27.026948697736454</v>
      </c>
      <c r="AH41" s="11">
        <f t="shared" si="43"/>
        <v>26.888231034546916</v>
      </c>
      <c r="AI41" s="15"/>
      <c r="AJ41" s="4"/>
      <c r="AK41" s="4"/>
      <c r="AL41" s="75"/>
      <c r="AM41" s="75"/>
      <c r="AN41" s="16"/>
      <c r="AO41" s="4">
        <v>4</v>
      </c>
      <c r="AP41" s="13">
        <v>3</v>
      </c>
      <c r="AQ41" s="71">
        <f t="shared" si="44"/>
        <v>2</v>
      </c>
      <c r="AR41" s="5"/>
      <c r="AS41" s="5"/>
      <c r="AT41" s="18">
        <f t="shared" si="45"/>
        <v>26.888231034546916</v>
      </c>
      <c r="AU41" s="18">
        <f t="shared" si="46"/>
        <v>27.026948697736454</v>
      </c>
      <c r="AV41" s="18">
        <f t="shared" si="47"/>
        <v>-0.1387176631895386</v>
      </c>
      <c r="AW41" s="5"/>
      <c r="AX41" s="18">
        <f t="shared" si="48"/>
        <v>23.591937896601127</v>
      </c>
      <c r="AY41" s="18">
        <f t="shared" si="49"/>
        <v>3.4350108011353271</v>
      </c>
      <c r="AZ41" s="5"/>
      <c r="BA41" s="17">
        <f t="shared" si="50"/>
        <v>1255</v>
      </c>
      <c r="BB41" s="17">
        <f t="shared" si="51"/>
        <v>2475</v>
      </c>
      <c r="BC41" s="5" t="str">
        <f t="shared" si="52"/>
        <v>30-35</v>
      </c>
      <c r="BD41" s="5" t="str">
        <f t="shared" si="53"/>
        <v>&lt;2EXP-4</v>
      </c>
      <c r="BE41" s="5" t="str">
        <f t="shared" si="54"/>
        <v>1200-1500</v>
      </c>
      <c r="BF41" s="5" t="str">
        <f t="shared" si="55"/>
        <v>2000-2500</v>
      </c>
      <c r="BG41" s="5" t="str">
        <f t="shared" si="56"/>
        <v>SE</v>
      </c>
      <c r="BH41" s="5" t="str">
        <f t="shared" si="57"/>
        <v>60-80</v>
      </c>
      <c r="BI41" s="5" t="str">
        <f t="shared" si="58"/>
        <v>30-32</v>
      </c>
      <c r="BJ41" s="5"/>
      <c r="BK41" s="5">
        <f t="shared" si="59"/>
        <v>1</v>
      </c>
      <c r="BL41" s="5">
        <f t="shared" si="60"/>
        <v>0</v>
      </c>
      <c r="BM41" s="5">
        <f t="shared" si="61"/>
        <v>1</v>
      </c>
      <c r="BN41" s="5">
        <f t="shared" si="62"/>
        <v>1</v>
      </c>
      <c r="BO41" s="5">
        <f t="shared" si="63"/>
        <v>0</v>
      </c>
      <c r="BP41" s="5">
        <f t="shared" si="64"/>
        <v>0</v>
      </c>
      <c r="BQ41" s="5">
        <f t="shared" si="65"/>
        <v>0</v>
      </c>
      <c r="BR41" s="5">
        <f t="shared" si="66"/>
        <v>0</v>
      </c>
      <c r="BS41" s="5">
        <f t="shared" si="67"/>
        <v>1</v>
      </c>
      <c r="BT41" s="5"/>
      <c r="BU41" s="18">
        <f t="shared" si="68"/>
        <v>24.309447873408978</v>
      </c>
      <c r="BV41" s="18">
        <f t="shared" si="69"/>
        <v>2.7175008243274767</v>
      </c>
      <c r="BW41" s="18">
        <f t="shared" si="70"/>
        <v>1.0875008243274769</v>
      </c>
      <c r="BX41" s="18">
        <f t="shared" si="71"/>
        <v>4.3475008243274766</v>
      </c>
      <c r="BY41" s="5">
        <f t="shared" si="72"/>
        <v>1</v>
      </c>
      <c r="BZ41" s="5"/>
      <c r="CA41" s="5"/>
      <c r="CB41" s="18"/>
      <c r="CC41" s="18" t="str">
        <f>IF($BG41=CC$1,$AI41," ")</f>
        <v xml:space="preserve"> </v>
      </c>
    </row>
    <row r="42" spans="1:81" s="47" customFormat="1" ht="9" customHeight="1" x14ac:dyDescent="0.15">
      <c r="A42" s="77" t="s">
        <v>280</v>
      </c>
      <c r="B42" s="2" t="str">
        <f>MID(A42,1,6)</f>
        <v>NUR127</v>
      </c>
      <c r="C42" s="1" t="s">
        <v>281</v>
      </c>
      <c r="D42" s="6">
        <v>4</v>
      </c>
      <c r="E42" s="7">
        <v>125</v>
      </c>
      <c r="F42" s="8">
        <f t="shared" ref="F42:F59" si="74">IF(E42&lt;22.5,1,IF(E42&lt;67.5,2,IF(E42&lt;112.5,3,IF(E42&lt;157.5,4,IF(E42&lt;202.5,5,IF(E42&lt;247.5,6,IF(E42&lt;292.5,7,IF(E42&lt;337.5,8,"1"))))))))</f>
        <v>4</v>
      </c>
      <c r="G42" s="3">
        <v>2235</v>
      </c>
      <c r="H42" s="58">
        <v>2099</v>
      </c>
      <c r="I42" s="58">
        <v>105</v>
      </c>
      <c r="J42" s="45">
        <v>161</v>
      </c>
      <c r="K42" s="85">
        <f t="shared" si="38"/>
        <v>31.845160528655661</v>
      </c>
      <c r="L42" s="11">
        <f t="shared" si="39"/>
        <v>1.4279999999999999</v>
      </c>
      <c r="M42" s="10">
        <f t="shared" si="40"/>
        <v>2</v>
      </c>
      <c r="N42" s="4">
        <v>422</v>
      </c>
      <c r="O42" s="90">
        <f t="shared" si="41"/>
        <v>44.750795334040291</v>
      </c>
      <c r="P42" s="4">
        <v>3</v>
      </c>
      <c r="Q42" s="4">
        <v>1765</v>
      </c>
      <c r="R42" s="17"/>
      <c r="S42" s="4">
        <v>1765</v>
      </c>
      <c r="T42" s="85"/>
      <c r="U42" s="4"/>
      <c r="V42" s="4">
        <v>64</v>
      </c>
      <c r="W42" s="4">
        <v>1795</v>
      </c>
      <c r="X42" s="10">
        <f>DEGREES(ATAN((W42-S42)/V42))</f>
        <v>25.114834886144564</v>
      </c>
      <c r="Y42" s="14">
        <v>1795</v>
      </c>
      <c r="Z42" s="12">
        <f>R42+V42-U42</f>
        <v>64</v>
      </c>
      <c r="AA42" s="46"/>
      <c r="AB42" s="46"/>
      <c r="AC42" s="85"/>
      <c r="AD42" s="13">
        <v>943</v>
      </c>
      <c r="AE42" s="3">
        <f>2*(POWER(10,-4))*2</f>
        <v>4.0000000000000002E-4</v>
      </c>
      <c r="AF42" s="51">
        <f>G42-S42</f>
        <v>470</v>
      </c>
      <c r="AG42" s="11">
        <f t="shared" si="42"/>
        <v>26.492093942086658</v>
      </c>
      <c r="AH42" s="50">
        <f t="shared" si="43"/>
        <v>28.133349942245491</v>
      </c>
      <c r="AI42" s="54"/>
      <c r="AJ42" s="4"/>
      <c r="AK42" s="4"/>
      <c r="AL42" s="75"/>
      <c r="AM42" s="75"/>
      <c r="AN42" s="16" t="s">
        <v>282</v>
      </c>
      <c r="AO42" s="4">
        <v>4</v>
      </c>
      <c r="AP42" s="13">
        <v>7</v>
      </c>
      <c r="AQ42" s="71">
        <f t="shared" si="44"/>
        <v>3</v>
      </c>
      <c r="AT42" s="18">
        <f t="shared" si="45"/>
        <v>28.133349942245491</v>
      </c>
      <c r="AU42" s="18">
        <f t="shared" si="46"/>
        <v>26.492093942086658</v>
      </c>
      <c r="AV42" s="18">
        <f t="shared" si="47"/>
        <v>1.6412560001588332</v>
      </c>
      <c r="AX42" s="18">
        <f t="shared" si="48"/>
        <v>27.279679455529028</v>
      </c>
      <c r="AY42" s="18">
        <f t="shared" si="49"/>
        <v>-0.78758551344236949</v>
      </c>
      <c r="BA42" s="17">
        <f t="shared" si="50"/>
        <v>470</v>
      </c>
      <c r="BB42" s="17">
        <f t="shared" si="51"/>
        <v>879</v>
      </c>
      <c r="BC42" s="5" t="str">
        <f t="shared" si="52"/>
        <v>30-35</v>
      </c>
      <c r="BD42" s="5" t="str">
        <f t="shared" si="53"/>
        <v>4EXP-4-6EXP-4</v>
      </c>
      <c r="BE42" s="5" t="str">
        <f t="shared" si="54"/>
        <v>300-600</v>
      </c>
      <c r="BF42" s="5" t="str">
        <f t="shared" si="55"/>
        <v>500-1000</v>
      </c>
      <c r="BG42" s="5" t="str">
        <f t="shared" si="56"/>
        <v>SE</v>
      </c>
      <c r="BH42" s="5" t="str">
        <f t="shared" si="57"/>
        <v>40-60</v>
      </c>
      <c r="BI42" s="5" t="str">
        <f t="shared" si="58"/>
        <v>30-32</v>
      </c>
      <c r="BK42" s="5">
        <f t="shared" si="59"/>
        <v>1</v>
      </c>
      <c r="BL42" s="5">
        <f t="shared" si="60"/>
        <v>0</v>
      </c>
      <c r="BM42" s="5">
        <f t="shared" si="61"/>
        <v>0</v>
      </c>
      <c r="BN42" s="5">
        <f t="shared" si="62"/>
        <v>1</v>
      </c>
      <c r="BO42" s="5">
        <f t="shared" si="63"/>
        <v>1</v>
      </c>
      <c r="BP42" s="5">
        <f t="shared" si="64"/>
        <v>1</v>
      </c>
      <c r="BQ42" s="5">
        <f t="shared" si="65"/>
        <v>0</v>
      </c>
      <c r="BR42" s="5">
        <f t="shared" si="66"/>
        <v>1</v>
      </c>
      <c r="BS42" s="5">
        <f t="shared" si="67"/>
        <v>0</v>
      </c>
      <c r="BU42" s="18">
        <f t="shared" si="68"/>
        <v>26.620859153297186</v>
      </c>
      <c r="BV42" s="18">
        <f t="shared" si="69"/>
        <v>-0.12876521121052775</v>
      </c>
      <c r="BW42" s="18">
        <f t="shared" si="70"/>
        <v>-1.7587652112105276</v>
      </c>
      <c r="BX42" s="18">
        <f t="shared" si="71"/>
        <v>1.5012347887894721</v>
      </c>
      <c r="BY42" s="5" t="str">
        <f t="shared" si="72"/>
        <v/>
      </c>
      <c r="CB42" s="18"/>
      <c r="CC42" s="18"/>
    </row>
    <row r="43" spans="1:81" s="47" customFormat="1" ht="9" customHeight="1" x14ac:dyDescent="0.15">
      <c r="A43" s="68" t="s">
        <v>193</v>
      </c>
      <c r="B43" s="2" t="str">
        <f>MID(A43,1,6)</f>
        <v>OSC008</v>
      </c>
      <c r="C43" s="1" t="s">
        <v>71</v>
      </c>
      <c r="D43" s="6">
        <v>5</v>
      </c>
      <c r="E43" s="7">
        <v>290</v>
      </c>
      <c r="F43" s="8">
        <f t="shared" si="74"/>
        <v>7</v>
      </c>
      <c r="G43" s="3">
        <v>2390</v>
      </c>
      <c r="H43" s="7">
        <v>2275</v>
      </c>
      <c r="I43" s="3">
        <v>199</v>
      </c>
      <c r="J43" s="3">
        <v>155</v>
      </c>
      <c r="K43" s="85">
        <f t="shared" si="38"/>
        <v>32.828541791412533</v>
      </c>
      <c r="L43" s="11">
        <f t="shared" si="39"/>
        <v>2.2885</v>
      </c>
      <c r="M43" s="10">
        <f t="shared" si="40"/>
        <v>2</v>
      </c>
      <c r="N43" s="4">
        <v>1042</v>
      </c>
      <c r="O43" s="90">
        <f t="shared" si="41"/>
        <v>70.453008789722787</v>
      </c>
      <c r="P43" s="4">
        <v>1</v>
      </c>
      <c r="Q43" s="4">
        <v>1555</v>
      </c>
      <c r="R43" s="4"/>
      <c r="S43" s="4">
        <v>1588</v>
      </c>
      <c r="T43" s="85"/>
      <c r="U43" s="4">
        <v>114</v>
      </c>
      <c r="V43" s="4"/>
      <c r="W43" s="4"/>
      <c r="X43" s="10"/>
      <c r="Y43" s="14">
        <f>S43</f>
        <v>1588</v>
      </c>
      <c r="Z43" s="12">
        <f>R43+V43-U43</f>
        <v>-114</v>
      </c>
      <c r="AA43" s="4">
        <v>147</v>
      </c>
      <c r="AB43" s="4">
        <v>80</v>
      </c>
      <c r="AC43" s="86">
        <f>DEGREES(ATAN((AB43)/AA43))</f>
        <v>28.555814208511237</v>
      </c>
      <c r="AD43" s="13">
        <v>1479</v>
      </c>
      <c r="AE43" s="64">
        <f>0.00008*2</f>
        <v>1.6000000000000001E-4</v>
      </c>
      <c r="AF43" s="12">
        <f>G43-S43</f>
        <v>802</v>
      </c>
      <c r="AG43" s="11">
        <f t="shared" si="42"/>
        <v>28.469129819561786</v>
      </c>
      <c r="AH43" s="11">
        <f t="shared" si="43"/>
        <v>27.662100635468214</v>
      </c>
      <c r="AI43" s="15">
        <v>3.6562000000000001</v>
      </c>
      <c r="AJ43" s="4">
        <v>875</v>
      </c>
      <c r="AK43" s="4">
        <v>601</v>
      </c>
      <c r="AL43" s="75">
        <f>(AJ43/AD43)*100</f>
        <v>59.161595672751858</v>
      </c>
      <c r="AM43" s="75">
        <f>(AK43/AD43)*100</f>
        <v>40.635564570655845</v>
      </c>
      <c r="AN43" s="16"/>
      <c r="AO43" s="4">
        <v>4</v>
      </c>
      <c r="AP43" s="13">
        <v>4</v>
      </c>
      <c r="AQ43" s="71">
        <f t="shared" si="44"/>
        <v>2</v>
      </c>
      <c r="AR43" s="5"/>
      <c r="AS43" s="5"/>
      <c r="AT43" s="18">
        <f t="shared" si="45"/>
        <v>27.662100635468214</v>
      </c>
      <c r="AU43" s="18">
        <f t="shared" si="46"/>
        <v>28.469129819561786</v>
      </c>
      <c r="AV43" s="18">
        <f t="shared" si="47"/>
        <v>-0.80702918409357238</v>
      </c>
      <c r="AW43" s="5"/>
      <c r="AX43" s="18">
        <f t="shared" si="48"/>
        <v>26.380817489310523</v>
      </c>
      <c r="AY43" s="18">
        <f t="shared" si="49"/>
        <v>2.0883123302512629</v>
      </c>
      <c r="AZ43" s="5"/>
      <c r="BA43" s="17">
        <f t="shared" si="50"/>
        <v>835</v>
      </c>
      <c r="BB43" s="17">
        <f t="shared" si="51"/>
        <v>1593</v>
      </c>
      <c r="BC43" s="5" t="str">
        <f t="shared" si="52"/>
        <v>30-35</v>
      </c>
      <c r="BD43" s="5" t="str">
        <f t="shared" si="53"/>
        <v>&lt;2EXP-4</v>
      </c>
      <c r="BE43" s="5" t="str">
        <f t="shared" si="54"/>
        <v>600-900</v>
      </c>
      <c r="BF43" s="5" t="str">
        <f t="shared" si="55"/>
        <v>1000-1500</v>
      </c>
      <c r="BG43" s="5" t="str">
        <f t="shared" si="56"/>
        <v>NW</v>
      </c>
      <c r="BH43" s="5" t="str">
        <f t="shared" si="57"/>
        <v>60-80</v>
      </c>
      <c r="BI43" s="5" t="str">
        <f t="shared" si="58"/>
        <v>30-32</v>
      </c>
      <c r="BJ43" s="5"/>
      <c r="BK43" s="5">
        <f t="shared" si="59"/>
        <v>1</v>
      </c>
      <c r="BL43" s="5">
        <f t="shared" si="60"/>
        <v>0</v>
      </c>
      <c r="BM43" s="5">
        <f t="shared" si="61"/>
        <v>1</v>
      </c>
      <c r="BN43" s="5">
        <f t="shared" si="62"/>
        <v>1</v>
      </c>
      <c r="BO43" s="5">
        <f t="shared" si="63"/>
        <v>0</v>
      </c>
      <c r="BP43" s="5">
        <f t="shared" si="64"/>
        <v>1</v>
      </c>
      <c r="BQ43" s="5">
        <f t="shared" si="65"/>
        <v>1</v>
      </c>
      <c r="BR43" s="5">
        <f t="shared" si="66"/>
        <v>0</v>
      </c>
      <c r="BS43" s="5">
        <f t="shared" si="67"/>
        <v>1</v>
      </c>
      <c r="BT43" s="5"/>
      <c r="BU43" s="18">
        <f t="shared" si="68"/>
        <v>26.279237021978815</v>
      </c>
      <c r="BV43" s="18">
        <f t="shared" si="69"/>
        <v>2.1898927975829707</v>
      </c>
      <c r="BW43" s="18">
        <f t="shared" si="70"/>
        <v>0.55989279758297084</v>
      </c>
      <c r="BX43" s="18">
        <f t="shared" si="71"/>
        <v>3.8198927975829706</v>
      </c>
      <c r="BY43" s="5">
        <f t="shared" si="72"/>
        <v>1</v>
      </c>
      <c r="BZ43" s="5"/>
      <c r="CA43" s="5"/>
      <c r="CB43" s="18"/>
      <c r="CC43" s="18">
        <f>IF($BG43=CC$1,$AI43," ")</f>
        <v>3.6562000000000001</v>
      </c>
    </row>
    <row r="44" spans="1:81" s="47" customFormat="1" ht="9" customHeight="1" x14ac:dyDescent="0.15">
      <c r="A44" s="1" t="s">
        <v>69</v>
      </c>
      <c r="B44" s="2" t="s">
        <v>70</v>
      </c>
      <c r="C44" s="1" t="s">
        <v>71</v>
      </c>
      <c r="D44" s="6">
        <v>5</v>
      </c>
      <c r="E44" s="7">
        <v>310</v>
      </c>
      <c r="F44" s="8">
        <f t="shared" si="74"/>
        <v>8</v>
      </c>
      <c r="G44" s="3">
        <v>2340</v>
      </c>
      <c r="H44" s="7">
        <v>2200</v>
      </c>
      <c r="I44" s="3">
        <v>266</v>
      </c>
      <c r="J44" s="3">
        <v>178</v>
      </c>
      <c r="K44" s="85">
        <f t="shared" si="38"/>
        <v>29.327179490456803</v>
      </c>
      <c r="L44" s="11">
        <f t="shared" si="39"/>
        <v>3.7240000000000002</v>
      </c>
      <c r="M44" s="10">
        <f t="shared" si="40"/>
        <v>3</v>
      </c>
      <c r="N44" s="4">
        <v>526</v>
      </c>
      <c r="O44" s="90">
        <f t="shared" si="41"/>
        <v>42.38517324738114</v>
      </c>
      <c r="P44" s="4">
        <v>1</v>
      </c>
      <c r="Q44" s="4">
        <v>1860</v>
      </c>
      <c r="R44" s="4">
        <v>277</v>
      </c>
      <c r="S44" s="4">
        <v>1800</v>
      </c>
      <c r="T44" s="85">
        <f>DEGREES(ATAN((Q44-S44)/R44))</f>
        <v>12.221829814847821</v>
      </c>
      <c r="U44" s="4"/>
      <c r="V44" s="4"/>
      <c r="W44" s="4"/>
      <c r="X44" s="10"/>
      <c r="Y44" s="14">
        <v>1800</v>
      </c>
      <c r="Z44" s="12">
        <v>277</v>
      </c>
      <c r="AA44" s="4"/>
      <c r="AB44" s="4"/>
      <c r="AC44" s="86">
        <v>12.221829814847821</v>
      </c>
      <c r="AD44" s="13">
        <v>1241</v>
      </c>
      <c r="AE44" s="64">
        <f>0.0002*2</f>
        <v>4.0000000000000002E-4</v>
      </c>
      <c r="AF44" s="12">
        <v>540</v>
      </c>
      <c r="AG44" s="11">
        <f t="shared" si="42"/>
        <v>23.51544567414183</v>
      </c>
      <c r="AH44" s="11">
        <f t="shared" si="43"/>
        <v>26.469875551142046</v>
      </c>
      <c r="AI44" s="15">
        <v>1.1979</v>
      </c>
      <c r="AJ44" s="4">
        <f>316+88</f>
        <v>404</v>
      </c>
      <c r="AK44" s="4">
        <v>679</v>
      </c>
      <c r="AL44" s="75">
        <f>(AJ44/AD44)*100</f>
        <v>32.554391619661565</v>
      </c>
      <c r="AM44" s="75">
        <f>(AK44/AD44)*100</f>
        <v>54.713940370668809</v>
      </c>
      <c r="AN44" s="16"/>
      <c r="AO44" s="4">
        <v>4</v>
      </c>
      <c r="AP44" s="13">
        <v>4</v>
      </c>
      <c r="AQ44" s="71">
        <f t="shared" si="44"/>
        <v>2</v>
      </c>
      <c r="AR44" s="5"/>
      <c r="AS44" s="5"/>
      <c r="AT44" s="18">
        <f t="shared" si="45"/>
        <v>26.469875551142046</v>
      </c>
      <c r="AU44" s="18">
        <f t="shared" si="46"/>
        <v>23.51544567414183</v>
      </c>
      <c r="AV44" s="18">
        <f t="shared" si="47"/>
        <v>2.9544298770002158</v>
      </c>
      <c r="AW44" s="5"/>
      <c r="AX44" s="18">
        <f t="shared" si="48"/>
        <v>25.050804174379376</v>
      </c>
      <c r="AY44" s="18">
        <f t="shared" si="49"/>
        <v>-1.5353585002375461</v>
      </c>
      <c r="AZ44" s="5"/>
      <c r="BA44" s="17">
        <f t="shared" si="50"/>
        <v>480</v>
      </c>
      <c r="BB44" s="17">
        <f t="shared" si="51"/>
        <v>964</v>
      </c>
      <c r="BC44" s="5" t="str">
        <f t="shared" si="52"/>
        <v>25-30</v>
      </c>
      <c r="BD44" s="5" t="str">
        <f t="shared" si="53"/>
        <v>4EXP-4-6EXP-4</v>
      </c>
      <c r="BE44" s="5" t="str">
        <f t="shared" si="54"/>
        <v>300-600</v>
      </c>
      <c r="BF44" s="5" t="str">
        <f t="shared" si="55"/>
        <v>500-1000</v>
      </c>
      <c r="BG44" s="5" t="str">
        <f t="shared" si="56"/>
        <v>NW</v>
      </c>
      <c r="BH44" s="5" t="str">
        <f t="shared" si="57"/>
        <v>40-60</v>
      </c>
      <c r="BI44" s="5" t="str">
        <f t="shared" si="58"/>
        <v>25-30</v>
      </c>
      <c r="BJ44" s="5"/>
      <c r="BK44" s="5">
        <f t="shared" si="59"/>
        <v>0</v>
      </c>
      <c r="BL44" s="5">
        <f t="shared" si="60"/>
        <v>0</v>
      </c>
      <c r="BM44" s="5">
        <f t="shared" si="61"/>
        <v>0</v>
      </c>
      <c r="BN44" s="5">
        <f t="shared" si="62"/>
        <v>1</v>
      </c>
      <c r="BO44" s="5">
        <f t="shared" si="63"/>
        <v>0</v>
      </c>
      <c r="BP44" s="5">
        <f t="shared" si="64"/>
        <v>0</v>
      </c>
      <c r="BQ44" s="5">
        <f t="shared" si="65"/>
        <v>1</v>
      </c>
      <c r="BR44" s="5">
        <f t="shared" si="66"/>
        <v>1</v>
      </c>
      <c r="BS44" s="5">
        <f t="shared" si="67"/>
        <v>1</v>
      </c>
      <c r="BT44" s="5"/>
      <c r="BU44" s="18">
        <f t="shared" si="68"/>
        <v>23.918219731876967</v>
      </c>
      <c r="BV44" s="18">
        <f t="shared" si="69"/>
        <v>-0.40277405773513664</v>
      </c>
      <c r="BW44" s="18">
        <f t="shared" si="70"/>
        <v>-2.0327740577351365</v>
      </c>
      <c r="BX44" s="18">
        <f t="shared" si="71"/>
        <v>1.2272259422648633</v>
      </c>
      <c r="BY44" s="5" t="str">
        <f t="shared" si="72"/>
        <v/>
      </c>
      <c r="BZ44" s="5"/>
      <c r="CA44" s="5"/>
      <c r="CB44" s="18" t="str">
        <f>IF($BG44=CB$1,$AI44," ")</f>
        <v xml:space="preserve"> </v>
      </c>
      <c r="CC44" s="18">
        <f>IF($BG44=CC$1,$AI44," ")</f>
        <v>1.1979</v>
      </c>
    </row>
    <row r="45" spans="1:81" s="47" customFormat="1" ht="9" customHeight="1" x14ac:dyDescent="0.15">
      <c r="A45" s="1" t="s">
        <v>72</v>
      </c>
      <c r="B45" s="2" t="s">
        <v>73</v>
      </c>
      <c r="C45" s="1" t="s">
        <v>74</v>
      </c>
      <c r="D45" s="6">
        <v>5</v>
      </c>
      <c r="E45" s="7">
        <v>118</v>
      </c>
      <c r="F45" s="8">
        <f t="shared" si="74"/>
        <v>4</v>
      </c>
      <c r="G45" s="3">
        <v>2360</v>
      </c>
      <c r="H45" s="7">
        <v>2220</v>
      </c>
      <c r="I45" s="3">
        <v>350</v>
      </c>
      <c r="J45" s="3">
        <v>169</v>
      </c>
      <c r="K45" s="85">
        <f t="shared" si="38"/>
        <v>30.613481021165875</v>
      </c>
      <c r="L45" s="11">
        <f t="shared" si="39"/>
        <v>4.9000000000000004</v>
      </c>
      <c r="M45" s="10">
        <f t="shared" si="40"/>
        <v>3</v>
      </c>
      <c r="N45" s="4">
        <v>897</v>
      </c>
      <c r="O45" s="90">
        <f t="shared" si="41"/>
        <v>67.698113207547166</v>
      </c>
      <c r="P45" s="4">
        <v>1</v>
      </c>
      <c r="Q45" s="4">
        <v>1765</v>
      </c>
      <c r="R45" s="4">
        <v>87</v>
      </c>
      <c r="S45" s="4">
        <v>1750</v>
      </c>
      <c r="T45" s="85">
        <f>DEGREES(ATAN((Q45-S45)/R45))</f>
        <v>9.7824070318072867</v>
      </c>
      <c r="U45" s="4"/>
      <c r="V45" s="4"/>
      <c r="W45" s="4"/>
      <c r="X45" s="10"/>
      <c r="Y45" s="14">
        <v>1750</v>
      </c>
      <c r="Z45" s="12">
        <v>87</v>
      </c>
      <c r="AA45" s="4"/>
      <c r="AB45" s="4"/>
      <c r="AC45" s="86">
        <v>9.7824070318072867</v>
      </c>
      <c r="AD45" s="13">
        <v>1325</v>
      </c>
      <c r="AE45" s="64">
        <f>0.0003*2</f>
        <v>5.9999999999999995E-4</v>
      </c>
      <c r="AF45" s="12">
        <v>610</v>
      </c>
      <c r="AG45" s="11">
        <f t="shared" si="42"/>
        <v>24.72027270960395</v>
      </c>
      <c r="AH45" s="11">
        <f t="shared" si="43"/>
        <v>25.669586021744468</v>
      </c>
      <c r="AI45" s="15">
        <v>2.3593999999999999</v>
      </c>
      <c r="AJ45" s="4">
        <f>608+116</f>
        <v>724</v>
      </c>
      <c r="AK45" s="4">
        <v>412</v>
      </c>
      <c r="AL45" s="75">
        <f>(AJ45/AD45)*100</f>
        <v>54.641509433962263</v>
      </c>
      <c r="AM45" s="75">
        <f>(AK45/AD45)*100</f>
        <v>31.09433962264151</v>
      </c>
      <c r="AN45" s="16"/>
      <c r="AO45" s="4">
        <v>4</v>
      </c>
      <c r="AP45" s="13">
        <v>4</v>
      </c>
      <c r="AQ45" s="71">
        <f t="shared" si="44"/>
        <v>2</v>
      </c>
      <c r="AR45" s="5"/>
      <c r="AS45" s="5"/>
      <c r="AT45" s="18">
        <f t="shared" si="45"/>
        <v>25.669586021744468</v>
      </c>
      <c r="AU45" s="18">
        <f t="shared" si="46"/>
        <v>24.72027270960395</v>
      </c>
      <c r="AV45" s="18">
        <f t="shared" si="47"/>
        <v>0.94931331214051795</v>
      </c>
      <c r="AW45" s="5"/>
      <c r="AX45" s="18">
        <f t="shared" si="48"/>
        <v>24.350581236743242</v>
      </c>
      <c r="AY45" s="18">
        <f t="shared" si="49"/>
        <v>0.36969147286070836</v>
      </c>
      <c r="AZ45" s="5"/>
      <c r="BA45" s="17">
        <f t="shared" si="50"/>
        <v>595</v>
      </c>
      <c r="BB45" s="17">
        <f t="shared" si="51"/>
        <v>1238</v>
      </c>
      <c r="BC45" s="5" t="str">
        <f t="shared" si="52"/>
        <v>30-35</v>
      </c>
      <c r="BD45" s="5" t="str">
        <f t="shared" si="53"/>
        <v>6EXP-4-8EXP-4</v>
      </c>
      <c r="BE45" s="5" t="str">
        <f t="shared" si="54"/>
        <v>300-600</v>
      </c>
      <c r="BF45" s="5" t="str">
        <f t="shared" si="55"/>
        <v>1000-1500</v>
      </c>
      <c r="BG45" s="5" t="str">
        <f t="shared" si="56"/>
        <v>SE</v>
      </c>
      <c r="BH45" s="5" t="str">
        <f t="shared" si="57"/>
        <v>60-80</v>
      </c>
      <c r="BI45" s="5" t="str">
        <f t="shared" si="58"/>
        <v>30-32</v>
      </c>
      <c r="BJ45" s="5"/>
      <c r="BK45" s="5">
        <f t="shared" si="59"/>
        <v>1</v>
      </c>
      <c r="BL45" s="5">
        <f t="shared" si="60"/>
        <v>1</v>
      </c>
      <c r="BM45" s="5">
        <f t="shared" si="61"/>
        <v>0</v>
      </c>
      <c r="BN45" s="5">
        <f t="shared" si="62"/>
        <v>1</v>
      </c>
      <c r="BO45" s="5">
        <f t="shared" si="63"/>
        <v>0</v>
      </c>
      <c r="BP45" s="5">
        <f t="shared" si="64"/>
        <v>0</v>
      </c>
      <c r="BQ45" s="5">
        <f t="shared" si="65"/>
        <v>0</v>
      </c>
      <c r="BR45" s="5">
        <f t="shared" si="66"/>
        <v>0</v>
      </c>
      <c r="BS45" s="5">
        <f t="shared" si="67"/>
        <v>1</v>
      </c>
      <c r="BT45" s="5"/>
      <c r="BU45" s="18">
        <f t="shared" si="68"/>
        <v>23.099229692187532</v>
      </c>
      <c r="BV45" s="18">
        <f t="shared" si="69"/>
        <v>1.6210430174164188</v>
      </c>
      <c r="BW45" s="18">
        <f t="shared" si="70"/>
        <v>-8.9569825835811301E-3</v>
      </c>
      <c r="BX45" s="18">
        <f t="shared" si="71"/>
        <v>3.2510430174164187</v>
      </c>
      <c r="BY45" s="5" t="str">
        <f t="shared" si="72"/>
        <v/>
      </c>
      <c r="BZ45" s="5"/>
      <c r="CA45" s="5"/>
      <c r="CB45" s="18">
        <f>IF($BG45=CB$1,$AI45," ")</f>
        <v>2.3593999999999999</v>
      </c>
      <c r="CC45" s="18" t="str">
        <f>IF($BG45=CC$1,$AI45," ")</f>
        <v xml:space="preserve"> </v>
      </c>
    </row>
    <row r="46" spans="1:81" s="47" customFormat="1" ht="9" customHeight="1" x14ac:dyDescent="0.15">
      <c r="A46" s="77" t="s">
        <v>283</v>
      </c>
      <c r="B46" s="2" t="str">
        <f>MID(A46,1,6)</f>
        <v>PAL205</v>
      </c>
      <c r="C46" s="1" t="s">
        <v>284</v>
      </c>
      <c r="D46" s="6">
        <v>2</v>
      </c>
      <c r="E46" s="7">
        <v>40</v>
      </c>
      <c r="F46" s="8">
        <f t="shared" si="74"/>
        <v>2</v>
      </c>
      <c r="G46" s="3">
        <v>2170</v>
      </c>
      <c r="H46" s="58">
        <v>1859</v>
      </c>
      <c r="I46" s="58">
        <v>221</v>
      </c>
      <c r="J46" s="45">
        <v>134</v>
      </c>
      <c r="K46" s="85">
        <f t="shared" si="38"/>
        <v>36.732826664489366</v>
      </c>
      <c r="L46" s="11">
        <f t="shared" si="39"/>
        <v>6.8731</v>
      </c>
      <c r="M46" s="10">
        <f t="shared" si="40"/>
        <v>4</v>
      </c>
      <c r="N46" s="4">
        <v>894</v>
      </c>
      <c r="O46" s="90">
        <f t="shared" si="41"/>
        <v>56.015037593984964</v>
      </c>
      <c r="P46" s="4">
        <v>4</v>
      </c>
      <c r="Q46" s="4">
        <v>1380</v>
      </c>
      <c r="R46" s="4">
        <v>116</v>
      </c>
      <c r="S46" s="4">
        <v>1370</v>
      </c>
      <c r="T46" s="85">
        <f>DEGREES(ATAN((Q46-S46)/R46))</f>
        <v>4.9271099476490141</v>
      </c>
      <c r="U46" s="4"/>
      <c r="V46" s="4">
        <v>33</v>
      </c>
      <c r="W46" s="4">
        <v>1373</v>
      </c>
      <c r="X46" s="10">
        <f>DEGREES(ATAN((W46-S46)/V46))</f>
        <v>5.1944289077348058</v>
      </c>
      <c r="Y46" s="14">
        <f>S46</f>
        <v>1370</v>
      </c>
      <c r="Z46" s="12">
        <f>R46+V46-U46</f>
        <v>149</v>
      </c>
      <c r="AA46" s="46"/>
      <c r="AB46" s="46"/>
      <c r="AC46" s="85"/>
      <c r="AD46" s="13">
        <v>1596</v>
      </c>
      <c r="AE46" s="3">
        <f>2*(POWER(10,-4))*2</f>
        <v>4.0000000000000002E-4</v>
      </c>
      <c r="AF46" s="51">
        <f>G46-S46</f>
        <v>800</v>
      </c>
      <c r="AG46" s="11">
        <f t="shared" si="42"/>
        <v>26.622461758578869</v>
      </c>
      <c r="AH46" s="50">
        <f t="shared" si="43"/>
        <v>28.632649055188665</v>
      </c>
      <c r="AI46" s="54"/>
      <c r="AJ46" s="4"/>
      <c r="AK46" s="4"/>
      <c r="AL46" s="75"/>
      <c r="AM46" s="75"/>
      <c r="AN46" s="57"/>
      <c r="AO46" s="4">
        <v>4</v>
      </c>
      <c r="AP46" s="13">
        <v>2</v>
      </c>
      <c r="AQ46" s="71">
        <f t="shared" si="44"/>
        <v>1</v>
      </c>
      <c r="AT46" s="18">
        <f t="shared" si="45"/>
        <v>28.632649055188665</v>
      </c>
      <c r="AU46" s="18">
        <f t="shared" si="46"/>
        <v>26.622461758578869</v>
      </c>
      <c r="AV46" s="18">
        <f t="shared" si="47"/>
        <v>2.0101872966097964</v>
      </c>
      <c r="AX46" s="18">
        <f t="shared" si="48"/>
        <v>25.711139772495269</v>
      </c>
      <c r="AY46" s="18">
        <f t="shared" si="49"/>
        <v>0.91132198608359971</v>
      </c>
      <c r="BA46" s="17">
        <f t="shared" si="50"/>
        <v>790</v>
      </c>
      <c r="BB46" s="17">
        <f t="shared" si="51"/>
        <v>1447</v>
      </c>
      <c r="BC46" s="5" t="str">
        <f t="shared" si="52"/>
        <v>35-40</v>
      </c>
      <c r="BD46" s="5" t="str">
        <f t="shared" si="53"/>
        <v>4EXP-4-6EXP-4</v>
      </c>
      <c r="BE46" s="5" t="str">
        <f t="shared" si="54"/>
        <v>600-900</v>
      </c>
      <c r="BF46" s="5" t="str">
        <f t="shared" si="55"/>
        <v>1500-2000</v>
      </c>
      <c r="BG46" s="5" t="str">
        <f t="shared" si="56"/>
        <v>NW</v>
      </c>
      <c r="BH46" s="5" t="str">
        <f t="shared" si="57"/>
        <v>40-60</v>
      </c>
      <c r="BI46" s="5" t="str">
        <f t="shared" si="58"/>
        <v>36-38</v>
      </c>
      <c r="BK46" s="5">
        <f t="shared" si="59"/>
        <v>1</v>
      </c>
      <c r="BL46" s="5">
        <f t="shared" si="60"/>
        <v>0</v>
      </c>
      <c r="BM46" s="5">
        <f t="shared" si="61"/>
        <v>1</v>
      </c>
      <c r="BN46" s="5">
        <f t="shared" si="62"/>
        <v>1</v>
      </c>
      <c r="BO46" s="5">
        <f t="shared" si="63"/>
        <v>0</v>
      </c>
      <c r="BP46" s="5">
        <f t="shared" si="64"/>
        <v>0</v>
      </c>
      <c r="BQ46" s="5">
        <f t="shared" si="65"/>
        <v>1</v>
      </c>
      <c r="BR46" s="5">
        <f t="shared" si="66"/>
        <v>1</v>
      </c>
      <c r="BS46" s="5">
        <f t="shared" si="67"/>
        <v>0</v>
      </c>
      <c r="BU46" s="18">
        <f t="shared" si="68"/>
        <v>25.554909983974738</v>
      </c>
      <c r="BV46" s="18">
        <f t="shared" si="69"/>
        <v>1.0675517746041301</v>
      </c>
      <c r="BW46" s="18">
        <f t="shared" si="70"/>
        <v>-0.56244822539586981</v>
      </c>
      <c r="BX46" s="18">
        <f t="shared" si="71"/>
        <v>2.69755177460413</v>
      </c>
      <c r="BY46" s="5" t="str">
        <f t="shared" si="72"/>
        <v/>
      </c>
      <c r="CB46" s="18"/>
      <c r="CC46" s="18"/>
    </row>
    <row r="47" spans="1:81" s="47" customFormat="1" ht="9" customHeight="1" x14ac:dyDescent="0.15">
      <c r="A47" s="1" t="s">
        <v>231</v>
      </c>
      <c r="B47" s="2" t="s">
        <v>232</v>
      </c>
      <c r="C47" s="1" t="s">
        <v>233</v>
      </c>
      <c r="D47" s="6">
        <v>2</v>
      </c>
      <c r="E47" s="7">
        <v>140</v>
      </c>
      <c r="F47" s="8">
        <f t="shared" si="74"/>
        <v>4</v>
      </c>
      <c r="G47" s="3">
        <v>2150</v>
      </c>
      <c r="H47" s="7">
        <v>2000</v>
      </c>
      <c r="I47" s="7">
        <v>192</v>
      </c>
      <c r="J47" s="3">
        <v>136</v>
      </c>
      <c r="K47" s="85">
        <f t="shared" si="38"/>
        <v>36.326825952120238</v>
      </c>
      <c r="L47" s="11">
        <f t="shared" si="39"/>
        <v>2.88</v>
      </c>
      <c r="M47" s="10">
        <f t="shared" si="40"/>
        <v>3</v>
      </c>
      <c r="N47" s="4">
        <v>410</v>
      </c>
      <c r="O47" s="90">
        <f t="shared" si="41"/>
        <v>27.062706270627064</v>
      </c>
      <c r="P47" s="4">
        <v>1</v>
      </c>
      <c r="Q47" s="4">
        <v>1280</v>
      </c>
      <c r="R47" s="4">
        <v>18</v>
      </c>
      <c r="S47" s="4">
        <v>1280</v>
      </c>
      <c r="T47" s="85">
        <f>DEGREES(ATAN((Q47-S47)/R47))</f>
        <v>0</v>
      </c>
      <c r="U47" s="19"/>
      <c r="V47" s="4"/>
      <c r="W47" s="4"/>
      <c r="X47" s="10"/>
      <c r="Y47" s="14">
        <v>1280</v>
      </c>
      <c r="Z47" s="12">
        <v>18</v>
      </c>
      <c r="AA47" s="4"/>
      <c r="AB47" s="4"/>
      <c r="AC47" s="86">
        <f>X47</f>
        <v>0</v>
      </c>
      <c r="AD47" s="13">
        <v>1515</v>
      </c>
      <c r="AE47" s="64">
        <f>0.0002*2</f>
        <v>4.0000000000000002E-4</v>
      </c>
      <c r="AF47" s="12">
        <v>870</v>
      </c>
      <c r="AG47" s="11">
        <f t="shared" si="42"/>
        <v>29.86691685151299</v>
      </c>
      <c r="AH47" s="11">
        <f t="shared" si="43"/>
        <v>30.163540620626726</v>
      </c>
      <c r="AI47" s="15"/>
      <c r="AJ47" s="4"/>
      <c r="AK47" s="4"/>
      <c r="AL47" s="75"/>
      <c r="AM47" s="75"/>
      <c r="AN47" s="16"/>
      <c r="AO47" s="4">
        <v>4</v>
      </c>
      <c r="AP47" s="13">
        <v>2</v>
      </c>
      <c r="AQ47" s="71">
        <f t="shared" si="44"/>
        <v>1</v>
      </c>
      <c r="AR47" s="5"/>
      <c r="AS47" s="5"/>
      <c r="AT47" s="18">
        <f t="shared" si="45"/>
        <v>30.163540620626726</v>
      </c>
      <c r="AU47" s="18">
        <f t="shared" si="46"/>
        <v>29.86691685151299</v>
      </c>
      <c r="AV47" s="18">
        <f t="shared" si="47"/>
        <v>0.29662376911373656</v>
      </c>
      <c r="AW47" s="5"/>
      <c r="AX47" s="18">
        <f t="shared" si="48"/>
        <v>27.620926277882578</v>
      </c>
      <c r="AY47" s="18">
        <f t="shared" si="49"/>
        <v>2.2459905736304115</v>
      </c>
      <c r="AZ47" s="5"/>
      <c r="BA47" s="17">
        <f t="shared" si="50"/>
        <v>870</v>
      </c>
      <c r="BB47" s="17">
        <f t="shared" si="51"/>
        <v>1497</v>
      </c>
      <c r="BC47" s="5" t="str">
        <f t="shared" si="52"/>
        <v>35-40</v>
      </c>
      <c r="BD47" s="5" t="str">
        <f t="shared" si="53"/>
        <v>4EXP-4-6EXP-4</v>
      </c>
      <c r="BE47" s="5" t="str">
        <f t="shared" si="54"/>
        <v>600-900</v>
      </c>
      <c r="BF47" s="5" t="str">
        <f t="shared" si="55"/>
        <v>1500-2000</v>
      </c>
      <c r="BG47" s="5" t="str">
        <f t="shared" si="56"/>
        <v>SE</v>
      </c>
      <c r="BH47" s="5" t="str">
        <f t="shared" si="57"/>
        <v>20-40</v>
      </c>
      <c r="BI47" s="5" t="str">
        <f t="shared" si="58"/>
        <v>36-38</v>
      </c>
      <c r="BJ47" s="5"/>
      <c r="BK47" s="5">
        <f t="shared" si="59"/>
        <v>1</v>
      </c>
      <c r="BL47" s="5">
        <f t="shared" si="60"/>
        <v>0</v>
      </c>
      <c r="BM47" s="5">
        <f t="shared" si="61"/>
        <v>1</v>
      </c>
      <c r="BN47" s="5">
        <f t="shared" si="62"/>
        <v>1</v>
      </c>
      <c r="BO47" s="5">
        <f t="shared" si="63"/>
        <v>0</v>
      </c>
      <c r="BP47" s="5">
        <f t="shared" si="64"/>
        <v>0</v>
      </c>
      <c r="BQ47" s="5">
        <f t="shared" si="65"/>
        <v>0</v>
      </c>
      <c r="BR47" s="5">
        <f t="shared" si="66"/>
        <v>1</v>
      </c>
      <c r="BS47" s="5">
        <f t="shared" si="67"/>
        <v>0</v>
      </c>
      <c r="BT47" s="5"/>
      <c r="BU47" s="18">
        <f t="shared" si="68"/>
        <v>28.154018663847822</v>
      </c>
      <c r="BV47" s="18">
        <f t="shared" si="69"/>
        <v>1.7128981876651679</v>
      </c>
      <c r="BW47" s="18">
        <f t="shared" si="70"/>
        <v>8.2898187665167988E-2</v>
      </c>
      <c r="BX47" s="18">
        <f t="shared" si="71"/>
        <v>3.3428981876651678</v>
      </c>
      <c r="BY47" s="5">
        <f t="shared" si="72"/>
        <v>1</v>
      </c>
      <c r="BZ47" s="5"/>
      <c r="CA47" s="5"/>
      <c r="CB47" s="18"/>
      <c r="CC47" s="18" t="str">
        <f>IF($BG47=CC$1,$AI47," ")</f>
        <v xml:space="preserve"> </v>
      </c>
    </row>
    <row r="48" spans="1:81" s="47" customFormat="1" ht="9" customHeight="1" x14ac:dyDescent="0.15">
      <c r="A48" s="1" t="s">
        <v>234</v>
      </c>
      <c r="B48" s="2" t="s">
        <v>235</v>
      </c>
      <c r="C48" s="1" t="s">
        <v>236</v>
      </c>
      <c r="D48" s="6">
        <v>2</v>
      </c>
      <c r="E48" s="7">
        <v>170</v>
      </c>
      <c r="F48" s="8">
        <f t="shared" si="74"/>
        <v>5</v>
      </c>
      <c r="G48" s="3">
        <v>2330</v>
      </c>
      <c r="H48" s="7">
        <v>2150</v>
      </c>
      <c r="I48" s="7">
        <v>135</v>
      </c>
      <c r="J48" s="3">
        <v>134</v>
      </c>
      <c r="K48" s="85">
        <f t="shared" si="38"/>
        <v>36.732826664489366</v>
      </c>
      <c r="L48" s="11">
        <f t="shared" si="39"/>
        <v>2.4300000000000002</v>
      </c>
      <c r="M48" s="10">
        <f t="shared" si="40"/>
        <v>2</v>
      </c>
      <c r="N48" s="4">
        <v>741</v>
      </c>
      <c r="O48" s="90">
        <f t="shared" si="41"/>
        <v>53.194544149318027</v>
      </c>
      <c r="P48" s="4">
        <v>2</v>
      </c>
      <c r="Q48" s="4">
        <v>1549</v>
      </c>
      <c r="R48" s="4">
        <v>133</v>
      </c>
      <c r="S48" s="4">
        <v>1544</v>
      </c>
      <c r="T48" s="85">
        <f>DEGREES(ATAN((Q48-S48)/R48))</f>
        <v>2.152962789100461</v>
      </c>
      <c r="U48" s="4"/>
      <c r="V48" s="4"/>
      <c r="W48" s="4"/>
      <c r="X48" s="10"/>
      <c r="Y48" s="14">
        <v>1544</v>
      </c>
      <c r="Z48" s="12">
        <v>133</v>
      </c>
      <c r="AA48" s="4"/>
      <c r="AB48" s="4"/>
      <c r="AC48" s="86">
        <v>2.152962789100461</v>
      </c>
      <c r="AD48" s="13">
        <v>1393</v>
      </c>
      <c r="AE48" s="64">
        <f>0.0002*2</f>
        <v>4.0000000000000002E-4</v>
      </c>
      <c r="AF48" s="12">
        <v>786</v>
      </c>
      <c r="AG48" s="11">
        <f t="shared" si="42"/>
        <v>29.433856467896007</v>
      </c>
      <c r="AH48" s="11">
        <f t="shared" si="43"/>
        <v>31.792343036164258</v>
      </c>
      <c r="AI48" s="15"/>
      <c r="AJ48" s="4"/>
      <c r="AK48" s="4"/>
      <c r="AL48" s="75"/>
      <c r="AM48" s="75"/>
      <c r="AN48" s="16"/>
      <c r="AO48" s="4">
        <v>4</v>
      </c>
      <c r="AP48" s="13">
        <v>2</v>
      </c>
      <c r="AQ48" s="71">
        <f t="shared" si="44"/>
        <v>1</v>
      </c>
      <c r="AR48" s="5"/>
      <c r="AS48" s="5"/>
      <c r="AT48" s="18">
        <f t="shared" si="45"/>
        <v>31.792343036164258</v>
      </c>
      <c r="AU48" s="18">
        <f t="shared" si="46"/>
        <v>29.433856467896007</v>
      </c>
      <c r="AV48" s="18">
        <f t="shared" si="47"/>
        <v>2.3584865682682512</v>
      </c>
      <c r="AW48" s="5"/>
      <c r="AX48" s="18">
        <f t="shared" si="48"/>
        <v>29.647104137846476</v>
      </c>
      <c r="AY48" s="18">
        <f t="shared" si="49"/>
        <v>-0.21324766995046929</v>
      </c>
      <c r="AZ48" s="5"/>
      <c r="BA48" s="17">
        <f t="shared" si="50"/>
        <v>781</v>
      </c>
      <c r="BB48" s="17">
        <f t="shared" si="51"/>
        <v>1260</v>
      </c>
      <c r="BC48" s="5" t="str">
        <f t="shared" si="52"/>
        <v>35-40</v>
      </c>
      <c r="BD48" s="5" t="str">
        <f t="shared" si="53"/>
        <v>4EXP-4-6EXP-4</v>
      </c>
      <c r="BE48" s="5" t="str">
        <f t="shared" si="54"/>
        <v>600-900</v>
      </c>
      <c r="BF48" s="5" t="str">
        <f t="shared" si="55"/>
        <v>1000-1500</v>
      </c>
      <c r="BG48" s="5" t="str">
        <f t="shared" si="56"/>
        <v>SE</v>
      </c>
      <c r="BH48" s="5" t="str">
        <f t="shared" si="57"/>
        <v>40-60</v>
      </c>
      <c r="BI48" s="5" t="str">
        <f t="shared" si="58"/>
        <v>36-38</v>
      </c>
      <c r="BJ48" s="5"/>
      <c r="BK48" s="5">
        <f t="shared" si="59"/>
        <v>1</v>
      </c>
      <c r="BL48" s="5">
        <f t="shared" si="60"/>
        <v>0</v>
      </c>
      <c r="BM48" s="5">
        <f t="shared" si="61"/>
        <v>1</v>
      </c>
      <c r="BN48" s="5">
        <f t="shared" si="62"/>
        <v>1</v>
      </c>
      <c r="BO48" s="5">
        <f t="shared" si="63"/>
        <v>1</v>
      </c>
      <c r="BP48" s="5">
        <f t="shared" si="64"/>
        <v>1</v>
      </c>
      <c r="BQ48" s="5">
        <f t="shared" si="65"/>
        <v>0</v>
      </c>
      <c r="BR48" s="5">
        <f t="shared" si="66"/>
        <v>1</v>
      </c>
      <c r="BS48" s="5">
        <f t="shared" si="67"/>
        <v>0</v>
      </c>
      <c r="BT48" s="5"/>
      <c r="BU48" s="18">
        <f t="shared" si="68"/>
        <v>29.62502468188806</v>
      </c>
      <c r="BV48" s="18">
        <f t="shared" si="69"/>
        <v>-0.19116821399205364</v>
      </c>
      <c r="BW48" s="18">
        <f t="shared" si="70"/>
        <v>-1.8211682139920535</v>
      </c>
      <c r="BX48" s="18">
        <f t="shared" si="71"/>
        <v>1.4388317860079463</v>
      </c>
      <c r="BY48" s="5" t="str">
        <f t="shared" si="72"/>
        <v/>
      </c>
      <c r="BZ48" s="5"/>
      <c r="CA48" s="5"/>
      <c r="CB48" s="18"/>
      <c r="CC48" s="18" t="str">
        <f>IF($BG48=CC$1,$AI48," ")</f>
        <v xml:space="preserve"> </v>
      </c>
    </row>
    <row r="49" spans="1:81" s="47" customFormat="1" ht="9" customHeight="1" x14ac:dyDescent="0.15">
      <c r="A49" s="77" t="s">
        <v>264</v>
      </c>
      <c r="B49" s="2" t="str">
        <f>MID(A49,1,6)</f>
        <v>PAL341</v>
      </c>
      <c r="C49" s="1" t="s">
        <v>263</v>
      </c>
      <c r="D49" s="6">
        <v>2</v>
      </c>
      <c r="E49" s="7">
        <v>315</v>
      </c>
      <c r="F49" s="8">
        <f t="shared" si="74"/>
        <v>8</v>
      </c>
      <c r="G49" s="3">
        <v>2490</v>
      </c>
      <c r="H49" s="58">
        <v>2144</v>
      </c>
      <c r="I49" s="58">
        <v>271</v>
      </c>
      <c r="J49" s="45">
        <v>140</v>
      </c>
      <c r="K49" s="85">
        <f t="shared" si="38"/>
        <v>35.537677791974382</v>
      </c>
      <c r="L49" s="11">
        <f t="shared" si="39"/>
        <v>9.3765999999999998</v>
      </c>
      <c r="M49" s="10">
        <f t="shared" si="40"/>
        <v>4</v>
      </c>
      <c r="N49" s="4">
        <v>743</v>
      </c>
      <c r="O49" s="90">
        <f t="shared" si="41"/>
        <v>32.16450216450216</v>
      </c>
      <c r="P49" s="4">
        <v>3</v>
      </c>
      <c r="Q49" s="4">
        <v>1310</v>
      </c>
      <c r="R49" s="4"/>
      <c r="S49" s="4">
        <v>1308</v>
      </c>
      <c r="T49" s="85"/>
      <c r="U49" s="4"/>
      <c r="V49" s="4">
        <v>93</v>
      </c>
      <c r="W49" s="4">
        <v>1340</v>
      </c>
      <c r="X49" s="10">
        <f>DEGREES(ATAN((W49-S49)/V49))</f>
        <v>18.98762408787017</v>
      </c>
      <c r="Y49" s="14">
        <f>S49</f>
        <v>1308</v>
      </c>
      <c r="Z49" s="12">
        <f>R49+V49-U49</f>
        <v>93</v>
      </c>
      <c r="AA49" s="4"/>
      <c r="AB49" s="4"/>
      <c r="AC49" s="86"/>
      <c r="AD49" s="13">
        <v>2310</v>
      </c>
      <c r="AE49" s="3">
        <f>8*(POWER(10,-5))*2</f>
        <v>1.6000000000000001E-4</v>
      </c>
      <c r="AF49" s="12">
        <f>G49-S49</f>
        <v>1182</v>
      </c>
      <c r="AG49" s="11">
        <f t="shared" si="42"/>
        <v>27.098295362221773</v>
      </c>
      <c r="AH49" s="50">
        <f t="shared" si="43"/>
        <v>28.024175715015755</v>
      </c>
      <c r="AI49" s="54"/>
      <c r="AJ49" s="4"/>
      <c r="AK49" s="4"/>
      <c r="AL49" s="75"/>
      <c r="AM49" s="75"/>
      <c r="AN49" s="57"/>
      <c r="AO49" s="4">
        <v>4</v>
      </c>
      <c r="AP49" s="13">
        <v>2</v>
      </c>
      <c r="AQ49" s="71">
        <f t="shared" si="44"/>
        <v>1</v>
      </c>
      <c r="AT49" s="18">
        <f t="shared" si="45"/>
        <v>28.024175715015755</v>
      </c>
      <c r="AU49" s="18">
        <f t="shared" si="46"/>
        <v>27.098295362221773</v>
      </c>
      <c r="AV49" s="18">
        <f t="shared" si="47"/>
        <v>0.92588035279398184</v>
      </c>
      <c r="AX49" s="18">
        <f t="shared" si="48"/>
        <v>24.52861530056213</v>
      </c>
      <c r="AY49" s="18">
        <f t="shared" si="49"/>
        <v>2.5696800616596427</v>
      </c>
      <c r="BA49" s="17">
        <f t="shared" si="50"/>
        <v>1180</v>
      </c>
      <c r="BB49" s="17">
        <f t="shared" si="51"/>
        <v>2217</v>
      </c>
      <c r="BC49" s="5" t="str">
        <f t="shared" si="52"/>
        <v>35-40</v>
      </c>
      <c r="BD49" s="5" t="str">
        <f t="shared" si="53"/>
        <v>&lt;2EXP-4</v>
      </c>
      <c r="BE49" s="5" t="str">
        <f t="shared" si="54"/>
        <v>900-1200</v>
      </c>
      <c r="BF49" s="5" t="str">
        <f t="shared" si="55"/>
        <v>2000-2500</v>
      </c>
      <c r="BG49" s="5" t="str">
        <f t="shared" si="56"/>
        <v>NW</v>
      </c>
      <c r="BH49" s="5" t="str">
        <f t="shared" si="57"/>
        <v>20-40</v>
      </c>
      <c r="BI49" s="5" t="str">
        <f t="shared" si="58"/>
        <v>34-36</v>
      </c>
      <c r="BK49" s="5">
        <f t="shared" si="59"/>
        <v>1</v>
      </c>
      <c r="BL49" s="5">
        <f t="shared" si="60"/>
        <v>0</v>
      </c>
      <c r="BM49" s="5">
        <f t="shared" si="61"/>
        <v>1</v>
      </c>
      <c r="BN49" s="5">
        <f t="shared" si="62"/>
        <v>1</v>
      </c>
      <c r="BO49" s="5">
        <f t="shared" si="63"/>
        <v>1</v>
      </c>
      <c r="BP49" s="5">
        <f t="shared" si="64"/>
        <v>0</v>
      </c>
      <c r="BQ49" s="5">
        <f t="shared" si="65"/>
        <v>1</v>
      </c>
      <c r="BR49" s="5">
        <f t="shared" si="66"/>
        <v>1</v>
      </c>
      <c r="BS49" s="5">
        <f t="shared" si="67"/>
        <v>0</v>
      </c>
      <c r="BU49" s="18">
        <f t="shared" si="68"/>
        <v>25.358409210019847</v>
      </c>
      <c r="BV49" s="18">
        <f t="shared" si="69"/>
        <v>1.739886152201926</v>
      </c>
      <c r="BW49" s="18">
        <f t="shared" si="70"/>
        <v>0.1098861522019261</v>
      </c>
      <c r="BX49" s="18">
        <f t="shared" si="71"/>
        <v>3.3698861522019259</v>
      </c>
      <c r="BY49" s="5">
        <f t="shared" si="72"/>
        <v>1</v>
      </c>
      <c r="CB49" s="18"/>
      <c r="CC49" s="18"/>
    </row>
    <row r="50" spans="1:81" s="47" customFormat="1" ht="9" customHeight="1" x14ac:dyDescent="0.15">
      <c r="A50" s="77" t="s">
        <v>266</v>
      </c>
      <c r="B50" s="2" t="str">
        <f>MID(A50,1,6)</f>
        <v>PAL351</v>
      </c>
      <c r="C50" s="1" t="s">
        <v>267</v>
      </c>
      <c r="D50" s="6">
        <v>1</v>
      </c>
      <c r="E50" s="3">
        <v>320</v>
      </c>
      <c r="F50" s="8">
        <f t="shared" si="74"/>
        <v>8</v>
      </c>
      <c r="G50" s="3">
        <v>2495</v>
      </c>
      <c r="H50" s="58">
        <v>1960</v>
      </c>
      <c r="I50" s="58">
        <v>300</v>
      </c>
      <c r="J50" s="45">
        <v>102</v>
      </c>
      <c r="K50" s="85">
        <f t="shared" si="38"/>
        <v>44.432733590142064</v>
      </c>
      <c r="L50" s="11">
        <f t="shared" si="39"/>
        <v>16.05</v>
      </c>
      <c r="M50" s="10">
        <f t="shared" si="40"/>
        <v>4</v>
      </c>
      <c r="N50" s="4">
        <v>1436</v>
      </c>
      <c r="O50" s="90">
        <f t="shared" si="41"/>
        <v>57.647531112003215</v>
      </c>
      <c r="P50" s="4">
        <v>3</v>
      </c>
      <c r="Q50" s="4">
        <v>1389</v>
      </c>
      <c r="R50" s="17"/>
      <c r="S50" s="4">
        <v>1389</v>
      </c>
      <c r="T50" s="85"/>
      <c r="U50" s="4"/>
      <c r="V50" s="4">
        <v>146</v>
      </c>
      <c r="W50" s="4">
        <v>1417</v>
      </c>
      <c r="X50" s="10">
        <f>DEGREES(ATAN((W50-S50)/V50))</f>
        <v>10.856413348062244</v>
      </c>
      <c r="Y50" s="14">
        <v>1417</v>
      </c>
      <c r="Z50" s="12">
        <f>R50+V50-U50</f>
        <v>146</v>
      </c>
      <c r="AA50" s="4"/>
      <c r="AB50" s="4"/>
      <c r="AC50" s="86"/>
      <c r="AD50" s="13">
        <v>2491</v>
      </c>
      <c r="AE50" s="3">
        <f>1*(POWER(10,-4))*2</f>
        <v>2.0000000000000001E-4</v>
      </c>
      <c r="AF50" s="12">
        <f>G50-S50</f>
        <v>1106</v>
      </c>
      <c r="AG50" s="11">
        <f t="shared" si="42"/>
        <v>23.94114420057285</v>
      </c>
      <c r="AH50" s="50">
        <f t="shared" si="43"/>
        <v>25.250523644310228</v>
      </c>
      <c r="AI50" s="15">
        <v>2.3906000000000001</v>
      </c>
      <c r="AJ50" s="78" t="s">
        <v>289</v>
      </c>
      <c r="AK50" s="16"/>
      <c r="AL50" s="12"/>
      <c r="AM50" s="75"/>
      <c r="AN50" s="57"/>
      <c r="AO50" s="4">
        <v>4</v>
      </c>
      <c r="AP50" s="13">
        <v>2</v>
      </c>
      <c r="AQ50" s="71">
        <f t="shared" si="44"/>
        <v>1</v>
      </c>
      <c r="AT50" s="18">
        <f t="shared" si="45"/>
        <v>25.250523644310228</v>
      </c>
      <c r="AU50" s="18">
        <f t="shared" si="46"/>
        <v>23.94114420057285</v>
      </c>
      <c r="AV50" s="18">
        <f t="shared" si="47"/>
        <v>1.3093794437373774</v>
      </c>
      <c r="AX50" s="18">
        <f t="shared" si="48"/>
        <v>22.211903206118876</v>
      </c>
      <c r="AY50" s="18">
        <f t="shared" si="49"/>
        <v>1.7292409944539742</v>
      </c>
      <c r="BA50" s="17">
        <f t="shared" si="50"/>
        <v>1106</v>
      </c>
      <c r="BB50" s="17">
        <f t="shared" si="51"/>
        <v>2345</v>
      </c>
      <c r="BC50" s="5" t="str">
        <f t="shared" si="52"/>
        <v>40-45</v>
      </c>
      <c r="BD50" s="5" t="str">
        <f t="shared" si="53"/>
        <v>2EXP-4-4EXP-4</v>
      </c>
      <c r="BE50" s="5" t="str">
        <f t="shared" si="54"/>
        <v>900-1200</v>
      </c>
      <c r="BF50" s="5" t="str">
        <f t="shared" si="55"/>
        <v>2000-2500</v>
      </c>
      <c r="BG50" s="5" t="str">
        <f t="shared" si="56"/>
        <v>NW</v>
      </c>
      <c r="BH50" s="5" t="str">
        <f t="shared" si="57"/>
        <v>40-60</v>
      </c>
      <c r="BI50" s="5" t="str">
        <f t="shared" si="58"/>
        <v>&gt;42</v>
      </c>
      <c r="BK50" s="5">
        <f t="shared" si="59"/>
        <v>1</v>
      </c>
      <c r="BL50" s="5">
        <f t="shared" si="60"/>
        <v>0</v>
      </c>
      <c r="BM50" s="5">
        <f t="shared" si="61"/>
        <v>1</v>
      </c>
      <c r="BN50" s="5">
        <f t="shared" si="62"/>
        <v>1</v>
      </c>
      <c r="BO50" s="5">
        <f t="shared" si="63"/>
        <v>1</v>
      </c>
      <c r="BP50" s="5">
        <f t="shared" si="64"/>
        <v>0</v>
      </c>
      <c r="BQ50" s="5">
        <f t="shared" si="65"/>
        <v>1</v>
      </c>
      <c r="BR50" s="5">
        <f t="shared" si="66"/>
        <v>1</v>
      </c>
      <c r="BS50" s="5">
        <f t="shared" si="67"/>
        <v>0</v>
      </c>
      <c r="BU50" s="18">
        <f t="shared" si="68"/>
        <v>22.248059455235769</v>
      </c>
      <c r="BV50" s="18">
        <f t="shared" si="69"/>
        <v>1.6930847453370816</v>
      </c>
      <c r="BW50" s="18">
        <f t="shared" si="70"/>
        <v>6.3084745337081749E-2</v>
      </c>
      <c r="BX50" s="18">
        <f t="shared" si="71"/>
        <v>3.3230847453370815</v>
      </c>
      <c r="BY50" s="5">
        <f t="shared" si="72"/>
        <v>1</v>
      </c>
      <c r="CB50" s="18" t="str">
        <f>IF($BG50=CB$1,$AI50," ")</f>
        <v xml:space="preserve"> </v>
      </c>
      <c r="CC50" s="18">
        <f>IF($BG50=CC$1,$AI50," ")</f>
        <v>2.3906000000000001</v>
      </c>
    </row>
    <row r="51" spans="1:81" s="47" customFormat="1" ht="9" customHeight="1" x14ac:dyDescent="0.15">
      <c r="A51" s="43" t="s">
        <v>237</v>
      </c>
      <c r="B51" s="44" t="s">
        <v>238</v>
      </c>
      <c r="C51" s="43" t="s">
        <v>239</v>
      </c>
      <c r="D51" s="48">
        <v>2</v>
      </c>
      <c r="E51" s="49">
        <v>225</v>
      </c>
      <c r="F51" s="8">
        <f t="shared" si="74"/>
        <v>6</v>
      </c>
      <c r="G51" s="45">
        <v>2475</v>
      </c>
      <c r="H51" s="49">
        <v>2200</v>
      </c>
      <c r="I51" s="49">
        <v>829</v>
      </c>
      <c r="J51" s="45">
        <v>137</v>
      </c>
      <c r="K51" s="85">
        <f t="shared" si="38"/>
        <v>36.126715772789915</v>
      </c>
      <c r="L51" s="11">
        <f t="shared" si="39"/>
        <v>22.797499999999999</v>
      </c>
      <c r="M51" s="10">
        <f t="shared" si="40"/>
        <v>4</v>
      </c>
      <c r="N51" s="4">
        <v>1639</v>
      </c>
      <c r="O51" s="90">
        <f t="shared" si="41"/>
        <v>59.191043698085956</v>
      </c>
      <c r="P51" s="46">
        <v>1</v>
      </c>
      <c r="Q51" s="46">
        <v>1535</v>
      </c>
      <c r="R51" s="46">
        <v>713</v>
      </c>
      <c r="S51" s="46">
        <v>1415</v>
      </c>
      <c r="T51" s="85">
        <f>DEGREES(ATAN((Q51-S51)/R51))</f>
        <v>9.5535159592569965</v>
      </c>
      <c r="U51" s="46"/>
      <c r="V51" s="46"/>
      <c r="W51" s="46"/>
      <c r="X51" s="10"/>
      <c r="Y51" s="52">
        <v>1415</v>
      </c>
      <c r="Z51" s="51">
        <v>713</v>
      </c>
      <c r="AA51" s="46"/>
      <c r="AB51" s="46"/>
      <c r="AC51" s="85">
        <v>9.5535159592569965</v>
      </c>
      <c r="AD51" s="53">
        <v>2769</v>
      </c>
      <c r="AE51" s="65">
        <f>0.0001*2</f>
        <v>2.0000000000000001E-4</v>
      </c>
      <c r="AF51" s="51">
        <v>1060</v>
      </c>
      <c r="AG51" s="11">
        <f t="shared" si="42"/>
        <v>20.947329593527616</v>
      </c>
      <c r="AH51" s="11">
        <f t="shared" si="43"/>
        <v>24.569805609312706</v>
      </c>
      <c r="AI51" s="54"/>
      <c r="AJ51" s="4"/>
      <c r="AK51" s="4"/>
      <c r="AL51" s="75"/>
      <c r="AM51" s="75"/>
      <c r="AN51" s="55" t="s">
        <v>240</v>
      </c>
      <c r="AO51" s="46">
        <v>4</v>
      </c>
      <c r="AP51" s="53">
        <v>1</v>
      </c>
      <c r="AQ51" s="71">
        <f t="shared" si="44"/>
        <v>1</v>
      </c>
      <c r="AT51" s="18">
        <f t="shared" si="45"/>
        <v>24.569805609312706</v>
      </c>
      <c r="AU51" s="18">
        <f t="shared" si="46"/>
        <v>20.947329593527616</v>
      </c>
      <c r="AV51" s="18">
        <f t="shared" si="47"/>
        <v>3.6224760157850895</v>
      </c>
      <c r="AX51" s="18">
        <f t="shared" si="48"/>
        <v>21.409750319170787</v>
      </c>
      <c r="AY51" s="18">
        <f t="shared" si="49"/>
        <v>-0.46242072564317027</v>
      </c>
      <c r="BA51" s="17">
        <f t="shared" si="50"/>
        <v>940</v>
      </c>
      <c r="BB51" s="17">
        <f t="shared" si="51"/>
        <v>2056</v>
      </c>
      <c r="BC51" s="5" t="str">
        <f t="shared" si="52"/>
        <v>35-40</v>
      </c>
      <c r="BD51" s="5" t="str">
        <f t="shared" si="53"/>
        <v>2EXP-4-4EXP-4</v>
      </c>
      <c r="BE51" s="5" t="str">
        <f t="shared" si="54"/>
        <v>900-1200</v>
      </c>
      <c r="BF51" s="5" t="str">
        <f t="shared" si="55"/>
        <v>&gt;2500</v>
      </c>
      <c r="BG51" s="5" t="str">
        <f t="shared" si="56"/>
        <v>NW</v>
      </c>
      <c r="BH51" s="5" t="str">
        <f t="shared" si="57"/>
        <v>40-60</v>
      </c>
      <c r="BI51" s="5" t="str">
        <f t="shared" si="58"/>
        <v>36-38</v>
      </c>
      <c r="BK51" s="5">
        <f t="shared" si="59"/>
        <v>1</v>
      </c>
      <c r="BL51" s="5">
        <f t="shared" si="60"/>
        <v>0</v>
      </c>
      <c r="BM51" s="5">
        <f t="shared" si="61"/>
        <v>1</v>
      </c>
      <c r="BN51" s="5">
        <f t="shared" si="62"/>
        <v>1</v>
      </c>
      <c r="BO51" s="5">
        <f t="shared" si="63"/>
        <v>0</v>
      </c>
      <c r="BP51" s="5">
        <f t="shared" si="64"/>
        <v>0</v>
      </c>
      <c r="BQ51" s="5">
        <f t="shared" si="65"/>
        <v>1</v>
      </c>
      <c r="BR51" s="5">
        <f t="shared" si="66"/>
        <v>1</v>
      </c>
      <c r="BS51" s="5">
        <f t="shared" si="67"/>
        <v>0</v>
      </c>
      <c r="BU51" s="18">
        <f t="shared" si="68"/>
        <v>20.873204083857232</v>
      </c>
      <c r="BV51" s="18">
        <f t="shared" si="69"/>
        <v>7.412550967038456E-2</v>
      </c>
      <c r="BW51" s="18">
        <f t="shared" si="70"/>
        <v>-1.5558744903296153</v>
      </c>
      <c r="BX51" s="18">
        <f t="shared" si="71"/>
        <v>1.7041255096703845</v>
      </c>
      <c r="BY51" s="5" t="str">
        <f t="shared" si="72"/>
        <v/>
      </c>
      <c r="CB51" s="18"/>
      <c r="CC51" s="18"/>
    </row>
    <row r="52" spans="1:81" s="47" customFormat="1" ht="9" customHeight="1" x14ac:dyDescent="0.15">
      <c r="A52" s="77" t="s">
        <v>271</v>
      </c>
      <c r="B52" s="2" t="str">
        <f>MID(A52,1,6)</f>
        <v>PAL376</v>
      </c>
      <c r="C52" s="1" t="s">
        <v>272</v>
      </c>
      <c r="D52" s="6">
        <v>1</v>
      </c>
      <c r="E52" s="7">
        <v>255</v>
      </c>
      <c r="F52" s="8">
        <f t="shared" si="74"/>
        <v>7</v>
      </c>
      <c r="G52" s="3">
        <v>2495</v>
      </c>
      <c r="H52" s="58">
        <v>2317</v>
      </c>
      <c r="I52" s="58">
        <v>197</v>
      </c>
      <c r="J52" s="45">
        <v>126</v>
      </c>
      <c r="K52" s="85">
        <f t="shared" si="38"/>
        <v>38.437301491062534</v>
      </c>
      <c r="L52" s="11">
        <f t="shared" si="39"/>
        <v>3.5066000000000002</v>
      </c>
      <c r="M52" s="10">
        <f t="shared" si="40"/>
        <v>3</v>
      </c>
      <c r="N52" s="4">
        <v>1044</v>
      </c>
      <c r="O52" s="90">
        <f t="shared" si="41"/>
        <v>41.086186540731994</v>
      </c>
      <c r="P52" s="4">
        <v>3</v>
      </c>
      <c r="Q52" s="4">
        <v>1475</v>
      </c>
      <c r="R52" s="4"/>
      <c r="S52" s="4">
        <v>1475</v>
      </c>
      <c r="T52" s="85"/>
      <c r="U52" s="4"/>
      <c r="V52" s="4">
        <v>287</v>
      </c>
      <c r="W52" s="4">
        <v>1555</v>
      </c>
      <c r="X52" s="10">
        <f>DEGREES(ATAN((W52-S52)/V52))</f>
        <v>15.575580421926043</v>
      </c>
      <c r="Y52" s="14">
        <v>1555</v>
      </c>
      <c r="Z52" s="12">
        <f>R52+V52-U52</f>
        <v>287</v>
      </c>
      <c r="AA52" s="4"/>
      <c r="AB52" s="4"/>
      <c r="AC52" s="87"/>
      <c r="AD52" s="13">
        <v>2541</v>
      </c>
      <c r="AE52" s="3">
        <f>4*(POWER(10,-5))*2</f>
        <v>8.0000000000000007E-5</v>
      </c>
      <c r="AF52" s="12">
        <f>G52-S52</f>
        <v>1020</v>
      </c>
      <c r="AG52" s="11">
        <f t="shared" si="42"/>
        <v>21.871353434736353</v>
      </c>
      <c r="AH52" s="50">
        <f t="shared" si="43"/>
        <v>24.348123299041294</v>
      </c>
      <c r="AI52" s="15">
        <v>0.37</v>
      </c>
      <c r="AJ52" s="4">
        <v>59</v>
      </c>
      <c r="AK52" s="4">
        <v>2430</v>
      </c>
      <c r="AL52" s="75">
        <f>(AJ52/AD52)*100</f>
        <v>2.3219205037386859</v>
      </c>
      <c r="AM52" s="75">
        <f>(AK52/AD52)*100</f>
        <v>95.631641086186534</v>
      </c>
      <c r="AN52" s="57"/>
      <c r="AO52" s="4">
        <v>4</v>
      </c>
      <c r="AP52" s="13">
        <v>1</v>
      </c>
      <c r="AQ52" s="71">
        <f t="shared" si="44"/>
        <v>1</v>
      </c>
      <c r="AT52" s="18">
        <f t="shared" si="45"/>
        <v>24.348123299041294</v>
      </c>
      <c r="AU52" s="18">
        <f t="shared" si="46"/>
        <v>21.871353434736353</v>
      </c>
      <c r="AV52" s="18">
        <f t="shared" si="47"/>
        <v>2.4767698643049414</v>
      </c>
      <c r="AX52" s="18">
        <f t="shared" si="48"/>
        <v>22.117054940261795</v>
      </c>
      <c r="AY52" s="18">
        <f t="shared" si="49"/>
        <v>-0.24570150552544234</v>
      </c>
      <c r="BA52" s="17">
        <f t="shared" si="50"/>
        <v>1020</v>
      </c>
      <c r="BB52" s="17">
        <f t="shared" si="51"/>
        <v>2254</v>
      </c>
      <c r="BC52" s="5" t="str">
        <f t="shared" si="52"/>
        <v>35-40</v>
      </c>
      <c r="BD52" s="5" t="str">
        <f t="shared" si="53"/>
        <v>&lt;2EXP-4</v>
      </c>
      <c r="BE52" s="5" t="str">
        <f t="shared" si="54"/>
        <v>900-1200</v>
      </c>
      <c r="BF52" s="5" t="str">
        <f t="shared" si="55"/>
        <v>&gt;2500</v>
      </c>
      <c r="BG52" s="5" t="str">
        <f t="shared" si="56"/>
        <v>NW</v>
      </c>
      <c r="BH52" s="5" t="str">
        <f t="shared" si="57"/>
        <v>40-60</v>
      </c>
      <c r="BI52" s="5" t="str">
        <f t="shared" si="58"/>
        <v>38-40</v>
      </c>
      <c r="BK52" s="5">
        <f t="shared" si="59"/>
        <v>1</v>
      </c>
      <c r="BL52" s="5">
        <f t="shared" si="60"/>
        <v>0</v>
      </c>
      <c r="BM52" s="5">
        <f t="shared" si="61"/>
        <v>1</v>
      </c>
      <c r="BN52" s="5">
        <f t="shared" si="62"/>
        <v>1</v>
      </c>
      <c r="BO52" s="5">
        <f t="shared" si="63"/>
        <v>1</v>
      </c>
      <c r="BP52" s="5">
        <f t="shared" si="64"/>
        <v>0</v>
      </c>
      <c r="BQ52" s="5">
        <f t="shared" si="65"/>
        <v>1</v>
      </c>
      <c r="BR52" s="5">
        <f t="shared" si="66"/>
        <v>1</v>
      </c>
      <c r="BS52" s="5">
        <f t="shared" si="67"/>
        <v>0</v>
      </c>
      <c r="BU52" s="18">
        <f t="shared" si="68"/>
        <v>23.357366462652962</v>
      </c>
      <c r="BV52" s="18">
        <f t="shared" si="69"/>
        <v>-1.4860130279166093</v>
      </c>
      <c r="BW52" s="18">
        <f t="shared" si="70"/>
        <v>-3.1160130279166092</v>
      </c>
      <c r="BX52" s="18">
        <f t="shared" si="71"/>
        <v>0.14398697208339062</v>
      </c>
      <c r="BY52" s="5" t="str">
        <f t="shared" si="72"/>
        <v/>
      </c>
      <c r="CB52" s="18" t="str">
        <f>IF($BG52=CB$1,$AI52," ")</f>
        <v xml:space="preserve"> </v>
      </c>
      <c r="CC52" s="18">
        <f>IF($BG52=CC$1,$AI52," ")</f>
        <v>0.37</v>
      </c>
    </row>
    <row r="53" spans="1:81" s="47" customFormat="1" ht="9" customHeight="1" x14ac:dyDescent="0.15">
      <c r="A53" s="43" t="s">
        <v>75</v>
      </c>
      <c r="B53" s="44" t="s">
        <v>76</v>
      </c>
      <c r="C53" s="43" t="s">
        <v>77</v>
      </c>
      <c r="D53" s="48">
        <v>2</v>
      </c>
      <c r="E53" s="49">
        <v>180</v>
      </c>
      <c r="F53" s="8">
        <f t="shared" si="74"/>
        <v>5</v>
      </c>
      <c r="G53" s="45">
        <v>2565</v>
      </c>
      <c r="H53" s="49">
        <v>2200</v>
      </c>
      <c r="I53" s="49">
        <v>379</v>
      </c>
      <c r="J53" s="45">
        <v>107</v>
      </c>
      <c r="K53" s="85">
        <f t="shared" si="38"/>
        <v>43.063199613778956</v>
      </c>
      <c r="L53" s="11">
        <f t="shared" si="39"/>
        <v>13.833500000000001</v>
      </c>
      <c r="M53" s="10">
        <f t="shared" si="40"/>
        <v>4</v>
      </c>
      <c r="N53" s="4">
        <v>1861</v>
      </c>
      <c r="O53" s="90">
        <f t="shared" si="41"/>
        <v>61.036405378812731</v>
      </c>
      <c r="P53" s="46">
        <v>1</v>
      </c>
      <c r="Q53" s="46">
        <v>1675</v>
      </c>
      <c r="R53" s="46">
        <v>1372</v>
      </c>
      <c r="S53" s="46">
        <v>1485</v>
      </c>
      <c r="T53" s="85">
        <f t="shared" ref="T53:T60" si="75">DEGREES(ATAN((Q53-S53)/R53))</f>
        <v>7.8844000886409153</v>
      </c>
      <c r="U53" s="59"/>
      <c r="V53" s="59"/>
      <c r="W53" s="59"/>
      <c r="X53" s="10"/>
      <c r="Y53" s="52">
        <v>1485</v>
      </c>
      <c r="Z53" s="51">
        <v>1372</v>
      </c>
      <c r="AA53" s="46"/>
      <c r="AB53" s="46"/>
      <c r="AC53" s="85">
        <v>7.8844000886409153</v>
      </c>
      <c r="AD53" s="53">
        <v>3049</v>
      </c>
      <c r="AE53" s="66">
        <f>0.0001*2</f>
        <v>2.0000000000000001E-4</v>
      </c>
      <c r="AF53" s="51">
        <v>1080</v>
      </c>
      <c r="AG53" s="11">
        <f t="shared" si="42"/>
        <v>19.504883486847934</v>
      </c>
      <c r="AH53" s="11">
        <f t="shared" si="43"/>
        <v>27.955321446254704</v>
      </c>
      <c r="AI53" s="54"/>
      <c r="AJ53" s="4"/>
      <c r="AK53" s="4"/>
      <c r="AL53" s="75"/>
      <c r="AM53" s="75"/>
      <c r="AN53" s="55"/>
      <c r="AO53" s="46">
        <v>4</v>
      </c>
      <c r="AP53" s="53">
        <v>1</v>
      </c>
      <c r="AQ53" s="71">
        <f t="shared" si="44"/>
        <v>1</v>
      </c>
      <c r="AR53" s="43"/>
      <c r="AS53" s="43"/>
      <c r="AT53" s="18">
        <f t="shared" si="45"/>
        <v>27.955321446254704</v>
      </c>
      <c r="AU53" s="18">
        <f t="shared" si="46"/>
        <v>19.504883486847934</v>
      </c>
      <c r="AV53" s="18">
        <f t="shared" si="47"/>
        <v>8.45043795940677</v>
      </c>
      <c r="AW53" s="43"/>
      <c r="AX53" s="18">
        <f t="shared" si="48"/>
        <v>23.736597513616125</v>
      </c>
      <c r="AY53" s="18">
        <f t="shared" si="49"/>
        <v>-4.2317140267681914</v>
      </c>
      <c r="AZ53" s="43"/>
      <c r="BA53" s="17">
        <f t="shared" si="50"/>
        <v>890</v>
      </c>
      <c r="BB53" s="17">
        <f t="shared" si="51"/>
        <v>1677</v>
      </c>
      <c r="BC53" s="5" t="str">
        <f t="shared" si="52"/>
        <v>40-45</v>
      </c>
      <c r="BD53" s="5" t="str">
        <f t="shared" si="53"/>
        <v>2EXP-4-4EXP-4</v>
      </c>
      <c r="BE53" s="5" t="str">
        <f t="shared" si="54"/>
        <v>900-1200</v>
      </c>
      <c r="BF53" s="5" t="str">
        <f t="shared" si="55"/>
        <v>&gt;2500</v>
      </c>
      <c r="BG53" s="5" t="str">
        <f t="shared" si="56"/>
        <v>SE</v>
      </c>
      <c r="BH53" s="5" t="str">
        <f t="shared" si="57"/>
        <v>60-80</v>
      </c>
      <c r="BI53" s="5" t="str">
        <f t="shared" si="58"/>
        <v>&gt;42</v>
      </c>
      <c r="BJ53" s="43"/>
      <c r="BK53" s="5">
        <f t="shared" si="59"/>
        <v>1</v>
      </c>
      <c r="BL53" s="5">
        <f t="shared" si="60"/>
        <v>0</v>
      </c>
      <c r="BM53" s="5">
        <f t="shared" si="61"/>
        <v>1</v>
      </c>
      <c r="BN53" s="5">
        <f t="shared" si="62"/>
        <v>1</v>
      </c>
      <c r="BO53" s="5">
        <f t="shared" si="63"/>
        <v>0</v>
      </c>
      <c r="BP53" s="5">
        <f t="shared" si="64"/>
        <v>0</v>
      </c>
      <c r="BQ53" s="5">
        <f t="shared" si="65"/>
        <v>0</v>
      </c>
      <c r="BR53" s="5">
        <f t="shared" si="66"/>
        <v>0</v>
      </c>
      <c r="BS53" s="5">
        <f t="shared" si="67"/>
        <v>0</v>
      </c>
      <c r="BT53" s="43"/>
      <c r="BU53" s="18">
        <f t="shared" si="68"/>
        <v>24.238935670982453</v>
      </c>
      <c r="BV53" s="18">
        <f t="shared" si="69"/>
        <v>-4.7340521841345193</v>
      </c>
      <c r="BW53" s="18">
        <f t="shared" si="70"/>
        <v>-6.3640521841345192</v>
      </c>
      <c r="BX53" s="18">
        <f t="shared" si="71"/>
        <v>-3.1040521841345194</v>
      </c>
      <c r="BY53" s="5">
        <f t="shared" si="72"/>
        <v>0</v>
      </c>
      <c r="BZ53" s="43"/>
      <c r="CA53" s="43"/>
      <c r="CB53" s="18"/>
      <c r="CC53" s="18" t="str">
        <f t="shared" ref="CC53:CC58" si="76">IF($BG53=CC$1,$AI53," ")</f>
        <v xml:space="preserve"> </v>
      </c>
    </row>
    <row r="54" spans="1:81" s="47" customFormat="1" ht="9" customHeight="1" x14ac:dyDescent="0.15">
      <c r="A54" s="43" t="s">
        <v>78</v>
      </c>
      <c r="B54" s="44" t="s">
        <v>79</v>
      </c>
      <c r="C54" s="43" t="s">
        <v>80</v>
      </c>
      <c r="D54" s="48">
        <v>5</v>
      </c>
      <c r="E54" s="49">
        <v>62</v>
      </c>
      <c r="F54" s="8">
        <f t="shared" si="74"/>
        <v>2</v>
      </c>
      <c r="G54" s="45">
        <v>2750</v>
      </c>
      <c r="H54" s="49">
        <v>2500</v>
      </c>
      <c r="I54" s="49">
        <v>210</v>
      </c>
      <c r="J54" s="45">
        <v>132</v>
      </c>
      <c r="K54" s="85">
        <f t="shared" si="38"/>
        <v>37.146686698021782</v>
      </c>
      <c r="L54" s="11">
        <f t="shared" si="39"/>
        <v>5.25</v>
      </c>
      <c r="M54" s="10">
        <f t="shared" si="40"/>
        <v>3</v>
      </c>
      <c r="N54" s="4">
        <v>437</v>
      </c>
      <c r="O54" s="90">
        <f t="shared" si="41"/>
        <v>21.21359223300971</v>
      </c>
      <c r="P54" s="46">
        <v>1</v>
      </c>
      <c r="Q54" s="46">
        <v>1920</v>
      </c>
      <c r="R54" s="46">
        <v>353</v>
      </c>
      <c r="S54" s="46">
        <v>1820</v>
      </c>
      <c r="T54" s="85">
        <f t="shared" si="75"/>
        <v>15.816689761334207</v>
      </c>
      <c r="U54" s="46"/>
      <c r="V54" s="46"/>
      <c r="W54" s="46"/>
      <c r="X54" s="10"/>
      <c r="Y54" s="52">
        <v>1820</v>
      </c>
      <c r="Z54" s="51">
        <v>353</v>
      </c>
      <c r="AA54" s="46"/>
      <c r="AB54" s="46"/>
      <c r="AC54" s="85">
        <v>16</v>
      </c>
      <c r="AD54" s="53">
        <v>2060</v>
      </c>
      <c r="AE54" s="65">
        <f>0.00009*2</f>
        <v>1.8000000000000001E-4</v>
      </c>
      <c r="AF54" s="51">
        <v>930</v>
      </c>
      <c r="AG54" s="11">
        <f t="shared" si="42"/>
        <v>24.297096641172157</v>
      </c>
      <c r="AH54" s="11">
        <f t="shared" si="43"/>
        <v>25.930557407957895</v>
      </c>
      <c r="AI54" s="54"/>
      <c r="AJ54" s="4"/>
      <c r="AK54" s="4"/>
      <c r="AL54" s="75"/>
      <c r="AM54" s="75"/>
      <c r="AN54" s="55"/>
      <c r="AO54" s="46">
        <v>4</v>
      </c>
      <c r="AP54" s="53">
        <v>3</v>
      </c>
      <c r="AQ54" s="71">
        <f t="shared" si="44"/>
        <v>2</v>
      </c>
      <c r="AT54" s="18">
        <f t="shared" si="45"/>
        <v>25.930557407957895</v>
      </c>
      <c r="AU54" s="18">
        <f t="shared" si="46"/>
        <v>24.297096641172157</v>
      </c>
      <c r="AV54" s="18">
        <f t="shared" si="47"/>
        <v>1.6334607667857384</v>
      </c>
      <c r="AX54" s="18">
        <f t="shared" si="48"/>
        <v>23.81652920412758</v>
      </c>
      <c r="AY54" s="18">
        <f t="shared" si="49"/>
        <v>0.48056743704457716</v>
      </c>
      <c r="BA54" s="17">
        <f t="shared" si="50"/>
        <v>830</v>
      </c>
      <c r="BB54" s="17">
        <f t="shared" si="51"/>
        <v>1707</v>
      </c>
      <c r="BC54" s="5" t="str">
        <f t="shared" si="52"/>
        <v>35-40</v>
      </c>
      <c r="BD54" s="5" t="str">
        <f t="shared" si="53"/>
        <v>&lt;2EXP-4</v>
      </c>
      <c r="BE54" s="5" t="str">
        <f t="shared" si="54"/>
        <v>900-1200</v>
      </c>
      <c r="BF54" s="5" t="str">
        <f t="shared" si="55"/>
        <v>2000-2500</v>
      </c>
      <c r="BG54" s="5" t="str">
        <f t="shared" si="56"/>
        <v>SE</v>
      </c>
      <c r="BH54" s="5" t="str">
        <f t="shared" si="57"/>
        <v>20-40</v>
      </c>
      <c r="BI54" s="5" t="str">
        <f t="shared" si="58"/>
        <v>36-38</v>
      </c>
      <c r="BK54" s="5">
        <f t="shared" si="59"/>
        <v>1</v>
      </c>
      <c r="BL54" s="5">
        <f t="shared" si="60"/>
        <v>0</v>
      </c>
      <c r="BM54" s="5">
        <f t="shared" si="61"/>
        <v>1</v>
      </c>
      <c r="BN54" s="5">
        <f t="shared" si="62"/>
        <v>1</v>
      </c>
      <c r="BO54" s="5">
        <f t="shared" si="63"/>
        <v>0</v>
      </c>
      <c r="BP54" s="5">
        <f t="shared" si="64"/>
        <v>0</v>
      </c>
      <c r="BQ54" s="5">
        <f t="shared" si="65"/>
        <v>0</v>
      </c>
      <c r="BR54" s="5">
        <f t="shared" si="66"/>
        <v>1</v>
      </c>
      <c r="BS54" s="5">
        <f t="shared" si="67"/>
        <v>1</v>
      </c>
      <c r="BU54" s="18">
        <f t="shared" si="68"/>
        <v>23.714022127435591</v>
      </c>
      <c r="BV54" s="18">
        <f t="shared" si="69"/>
        <v>0.58307451373656605</v>
      </c>
      <c r="BW54" s="18">
        <f t="shared" si="70"/>
        <v>-1.0469254862634338</v>
      </c>
      <c r="BX54" s="18">
        <f t="shared" si="71"/>
        <v>2.2130745137365659</v>
      </c>
      <c r="BY54" s="5" t="str">
        <f t="shared" si="72"/>
        <v/>
      </c>
      <c r="CB54" s="18"/>
      <c r="CC54" s="18" t="str">
        <f t="shared" si="76"/>
        <v xml:space="preserve"> </v>
      </c>
    </row>
    <row r="55" spans="1:81" s="47" customFormat="1" ht="9" customHeight="1" x14ac:dyDescent="0.15">
      <c r="A55" s="43" t="s">
        <v>81</v>
      </c>
      <c r="B55" s="44" t="s">
        <v>82</v>
      </c>
      <c r="C55" s="43" t="s">
        <v>83</v>
      </c>
      <c r="D55" s="48">
        <v>2</v>
      </c>
      <c r="E55" s="49">
        <v>100</v>
      </c>
      <c r="F55" s="8">
        <f t="shared" si="74"/>
        <v>3</v>
      </c>
      <c r="G55" s="45">
        <v>2715</v>
      </c>
      <c r="H55" s="49">
        <v>2500</v>
      </c>
      <c r="I55" s="49">
        <v>306</v>
      </c>
      <c r="J55" s="45">
        <v>130</v>
      </c>
      <c r="K55" s="85">
        <f t="shared" si="38"/>
        <v>37.568592028827496</v>
      </c>
      <c r="L55" s="11">
        <f t="shared" si="39"/>
        <v>6.5789999999999997</v>
      </c>
      <c r="M55" s="10">
        <f t="shared" si="40"/>
        <v>4</v>
      </c>
      <c r="N55" s="4">
        <v>1496</v>
      </c>
      <c r="O55" s="90">
        <f t="shared" si="41"/>
        <v>76.915167095115677</v>
      </c>
      <c r="P55" s="46">
        <v>1</v>
      </c>
      <c r="Q55" s="46">
        <v>1765</v>
      </c>
      <c r="R55" s="46">
        <v>471</v>
      </c>
      <c r="S55" s="46">
        <v>1700</v>
      </c>
      <c r="T55" s="85">
        <f t="shared" si="75"/>
        <v>7.8574296738019491</v>
      </c>
      <c r="U55" s="46"/>
      <c r="V55" s="46"/>
      <c r="W55" s="46"/>
      <c r="X55" s="10"/>
      <c r="Y55" s="52">
        <v>1700</v>
      </c>
      <c r="Z55" s="51">
        <v>471</v>
      </c>
      <c r="AA55" s="46"/>
      <c r="AB55" s="46"/>
      <c r="AC55" s="85">
        <v>7.8574296738019491</v>
      </c>
      <c r="AD55" s="53">
        <v>1945</v>
      </c>
      <c r="AE55" s="65">
        <f>0.0002*2</f>
        <v>4.0000000000000002E-4</v>
      </c>
      <c r="AF55" s="51">
        <v>1015</v>
      </c>
      <c r="AG55" s="11">
        <f t="shared" si="42"/>
        <v>27.557845028300488</v>
      </c>
      <c r="AH55" s="11">
        <f t="shared" si="43"/>
        <v>32.801972507364781</v>
      </c>
      <c r="AI55" s="54"/>
      <c r="AJ55" s="4"/>
      <c r="AK55" s="4"/>
      <c r="AL55" s="75"/>
      <c r="AM55" s="75"/>
      <c r="AN55" s="55"/>
      <c r="AO55" s="46">
        <v>4</v>
      </c>
      <c r="AP55" s="53">
        <v>3</v>
      </c>
      <c r="AQ55" s="71">
        <f t="shared" si="44"/>
        <v>2</v>
      </c>
      <c r="AT55" s="18">
        <f t="shared" si="45"/>
        <v>32.801972507364781</v>
      </c>
      <c r="AU55" s="18">
        <f t="shared" si="46"/>
        <v>27.557845028300488</v>
      </c>
      <c r="AV55" s="18">
        <f t="shared" si="47"/>
        <v>5.2441274790642929</v>
      </c>
      <c r="AX55" s="18">
        <f t="shared" si="48"/>
        <v>28.57251883067088</v>
      </c>
      <c r="AY55" s="18">
        <f t="shared" si="49"/>
        <v>-1.0146738023703925</v>
      </c>
      <c r="BA55" s="17">
        <f t="shared" si="50"/>
        <v>950</v>
      </c>
      <c r="BB55" s="17">
        <f t="shared" si="51"/>
        <v>1474</v>
      </c>
      <c r="BC55" s="5" t="str">
        <f t="shared" si="52"/>
        <v>35-40</v>
      </c>
      <c r="BD55" s="5" t="str">
        <f t="shared" si="53"/>
        <v>4EXP-4-6EXP-4</v>
      </c>
      <c r="BE55" s="5" t="str">
        <f t="shared" si="54"/>
        <v>900-1200</v>
      </c>
      <c r="BF55" s="5" t="str">
        <f t="shared" si="55"/>
        <v>1500-2000</v>
      </c>
      <c r="BG55" s="5" t="str">
        <f t="shared" si="56"/>
        <v>SE</v>
      </c>
      <c r="BH55" s="5" t="str">
        <f t="shared" si="57"/>
        <v>60-80</v>
      </c>
      <c r="BI55" s="5" t="str">
        <f t="shared" si="58"/>
        <v>36-38</v>
      </c>
      <c r="BK55" s="5">
        <f t="shared" si="59"/>
        <v>1</v>
      </c>
      <c r="BL55" s="5">
        <f t="shared" si="60"/>
        <v>0</v>
      </c>
      <c r="BM55" s="5">
        <f t="shared" si="61"/>
        <v>1</v>
      </c>
      <c r="BN55" s="5">
        <f t="shared" si="62"/>
        <v>1</v>
      </c>
      <c r="BO55" s="5">
        <f t="shared" si="63"/>
        <v>0</v>
      </c>
      <c r="BP55" s="5">
        <f t="shared" si="64"/>
        <v>0</v>
      </c>
      <c r="BQ55" s="5">
        <f t="shared" si="65"/>
        <v>0</v>
      </c>
      <c r="BR55" s="5">
        <f t="shared" si="66"/>
        <v>0</v>
      </c>
      <c r="BS55" s="5">
        <f t="shared" si="67"/>
        <v>1</v>
      </c>
      <c r="BU55" s="18">
        <f t="shared" si="68"/>
        <v>29.43411479618192</v>
      </c>
      <c r="BV55" s="18">
        <f t="shared" si="69"/>
        <v>-1.876269767881432</v>
      </c>
      <c r="BW55" s="18">
        <f t="shared" si="70"/>
        <v>-3.5062697678814319</v>
      </c>
      <c r="BX55" s="18">
        <f t="shared" si="71"/>
        <v>-0.24626976788143207</v>
      </c>
      <c r="BY55" s="5">
        <f t="shared" si="72"/>
        <v>0</v>
      </c>
      <c r="CB55" s="18"/>
      <c r="CC55" s="18" t="str">
        <f t="shared" si="76"/>
        <v xml:space="preserve"> </v>
      </c>
    </row>
    <row r="56" spans="1:81" s="47" customFormat="1" ht="9" customHeight="1" x14ac:dyDescent="0.15">
      <c r="A56" s="69" t="s">
        <v>194</v>
      </c>
      <c r="B56" s="44" t="str">
        <f>MID(A56,1,6)</f>
        <v>PEG012</v>
      </c>
      <c r="C56" s="43" t="s">
        <v>195</v>
      </c>
      <c r="D56" s="48">
        <v>2</v>
      </c>
      <c r="E56" s="49">
        <v>90</v>
      </c>
      <c r="F56" s="8">
        <f t="shared" si="74"/>
        <v>3</v>
      </c>
      <c r="G56" s="45">
        <v>2800</v>
      </c>
      <c r="H56" s="49">
        <v>2650</v>
      </c>
      <c r="I56" s="49">
        <v>121</v>
      </c>
      <c r="J56" s="45">
        <v>132</v>
      </c>
      <c r="K56" s="85">
        <f t="shared" si="38"/>
        <v>37.146686698021782</v>
      </c>
      <c r="L56" s="50">
        <f t="shared" si="39"/>
        <v>1.8149999999999999</v>
      </c>
      <c r="M56" s="10">
        <f t="shared" si="40"/>
        <v>2</v>
      </c>
      <c r="N56" s="4">
        <v>813</v>
      </c>
      <c r="O56" s="90">
        <f t="shared" si="41"/>
        <v>47.908073070123748</v>
      </c>
      <c r="P56" s="46">
        <v>1</v>
      </c>
      <c r="Q56" s="46">
        <v>2060</v>
      </c>
      <c r="R56" s="46">
        <v>219</v>
      </c>
      <c r="S56" s="46">
        <v>2027</v>
      </c>
      <c r="T56" s="85">
        <f t="shared" si="75"/>
        <v>8.5691418798376429</v>
      </c>
      <c r="U56" s="46"/>
      <c r="V56" s="46"/>
      <c r="W56" s="46"/>
      <c r="X56" s="10"/>
      <c r="Y56" s="52">
        <f>S56</f>
        <v>2027</v>
      </c>
      <c r="Z56" s="51">
        <f>R56+V56-U56</f>
        <v>219</v>
      </c>
      <c r="AA56" s="46"/>
      <c r="AB56" s="46"/>
      <c r="AC56" s="85">
        <f>T56</f>
        <v>8.5691418798376429</v>
      </c>
      <c r="AD56" s="53">
        <v>1697</v>
      </c>
      <c r="AE56" s="65">
        <f>0.00004*2</f>
        <v>8.0000000000000007E-5</v>
      </c>
      <c r="AF56" s="12">
        <f>G56-S56</f>
        <v>773</v>
      </c>
      <c r="AG56" s="11">
        <f t="shared" si="42"/>
        <v>24.489726297008239</v>
      </c>
      <c r="AH56" s="11">
        <f t="shared" si="43"/>
        <v>26.596055383745032</v>
      </c>
      <c r="AI56" s="54"/>
      <c r="AJ56" s="4"/>
      <c r="AK56" s="4"/>
      <c r="AL56" s="75"/>
      <c r="AM56" s="75"/>
      <c r="AN56" s="55" t="s">
        <v>196</v>
      </c>
      <c r="AO56" s="46">
        <v>4</v>
      </c>
      <c r="AP56" s="53">
        <v>3</v>
      </c>
      <c r="AQ56" s="71">
        <f t="shared" si="44"/>
        <v>2</v>
      </c>
      <c r="AT56" s="18">
        <f t="shared" si="45"/>
        <v>26.596055383745032</v>
      </c>
      <c r="AU56" s="18">
        <f t="shared" si="46"/>
        <v>24.489726297008239</v>
      </c>
      <c r="AV56" s="18">
        <f t="shared" si="47"/>
        <v>2.1063290867367925</v>
      </c>
      <c r="AX56" s="18">
        <f t="shared" si="48"/>
        <v>25.341962645483676</v>
      </c>
      <c r="AY56" s="18">
        <f t="shared" si="49"/>
        <v>-0.8522363484754365</v>
      </c>
      <c r="BA56" s="17">
        <f t="shared" si="50"/>
        <v>740</v>
      </c>
      <c r="BB56" s="17">
        <f t="shared" si="51"/>
        <v>1478</v>
      </c>
      <c r="BC56" s="5" t="str">
        <f t="shared" si="52"/>
        <v>35-40</v>
      </c>
      <c r="BD56" s="5" t="str">
        <f t="shared" si="53"/>
        <v>&lt;2EXP-4</v>
      </c>
      <c r="BE56" s="5" t="str">
        <f t="shared" si="54"/>
        <v>600-900</v>
      </c>
      <c r="BF56" s="5" t="str">
        <f t="shared" si="55"/>
        <v>1500-2000</v>
      </c>
      <c r="BG56" s="5" t="str">
        <f t="shared" si="56"/>
        <v>SE</v>
      </c>
      <c r="BH56" s="5" t="str">
        <f t="shared" si="57"/>
        <v>40-60</v>
      </c>
      <c r="BI56" s="5" t="str">
        <f t="shared" si="58"/>
        <v>36-38</v>
      </c>
      <c r="BK56" s="5">
        <f t="shared" si="59"/>
        <v>1</v>
      </c>
      <c r="BL56" s="5">
        <f t="shared" si="60"/>
        <v>0</v>
      </c>
      <c r="BM56" s="5">
        <f t="shared" si="61"/>
        <v>1</v>
      </c>
      <c r="BN56" s="5">
        <f t="shared" si="62"/>
        <v>1</v>
      </c>
      <c r="BO56" s="5">
        <f t="shared" si="63"/>
        <v>0</v>
      </c>
      <c r="BP56" s="5">
        <f t="shared" si="64"/>
        <v>1</v>
      </c>
      <c r="BQ56" s="5">
        <f t="shared" si="65"/>
        <v>0</v>
      </c>
      <c r="BR56" s="5">
        <f t="shared" si="66"/>
        <v>1</v>
      </c>
      <c r="BS56" s="5">
        <f t="shared" si="67"/>
        <v>1</v>
      </c>
      <c r="BU56" s="18">
        <f t="shared" si="68"/>
        <v>25.502212812612338</v>
      </c>
      <c r="BV56" s="18">
        <f t="shared" si="69"/>
        <v>-1.012486515604099</v>
      </c>
      <c r="BW56" s="18">
        <f t="shared" si="70"/>
        <v>-2.6424865156040989</v>
      </c>
      <c r="BX56" s="18">
        <f t="shared" si="71"/>
        <v>0.61751348439590092</v>
      </c>
      <c r="BY56" s="5" t="str">
        <f t="shared" si="72"/>
        <v/>
      </c>
      <c r="CB56" s="18"/>
      <c r="CC56" s="18" t="str">
        <f t="shared" si="76"/>
        <v xml:space="preserve"> </v>
      </c>
    </row>
    <row r="57" spans="1:81" s="47" customFormat="1" ht="9" customHeight="1" x14ac:dyDescent="0.15">
      <c r="A57" s="43" t="s">
        <v>84</v>
      </c>
      <c r="B57" s="44" t="s">
        <v>85</v>
      </c>
      <c r="C57" s="43" t="s">
        <v>86</v>
      </c>
      <c r="D57" s="48">
        <v>2</v>
      </c>
      <c r="E57" s="49">
        <v>50</v>
      </c>
      <c r="F57" s="8">
        <f t="shared" si="74"/>
        <v>2</v>
      </c>
      <c r="G57" s="45">
        <v>1985</v>
      </c>
      <c r="H57" s="49">
        <v>1750</v>
      </c>
      <c r="I57" s="49">
        <v>734</v>
      </c>
      <c r="J57" s="45">
        <v>172</v>
      </c>
      <c r="K57" s="85">
        <f t="shared" si="38"/>
        <v>30.173520029644333</v>
      </c>
      <c r="L57" s="11">
        <f t="shared" si="39"/>
        <v>17.248999999999999</v>
      </c>
      <c r="M57" s="10">
        <f t="shared" si="40"/>
        <v>4</v>
      </c>
      <c r="N57" s="4">
        <v>1886</v>
      </c>
      <c r="O57" s="90">
        <f t="shared" si="41"/>
        <v>81.574394463667815</v>
      </c>
      <c r="P57" s="46">
        <v>1</v>
      </c>
      <c r="Q57" s="46">
        <v>1155</v>
      </c>
      <c r="R57" s="46">
        <v>55</v>
      </c>
      <c r="S57" s="46">
        <v>1150</v>
      </c>
      <c r="T57" s="85">
        <f t="shared" si="75"/>
        <v>5.1944289077348058</v>
      </c>
      <c r="U57" s="46"/>
      <c r="V57" s="46"/>
      <c r="W57" s="46"/>
      <c r="X57" s="10"/>
      <c r="Y57" s="52">
        <v>1150</v>
      </c>
      <c r="Z57" s="51">
        <v>55</v>
      </c>
      <c r="AA57" s="46"/>
      <c r="AB57" s="46"/>
      <c r="AC57" s="85">
        <v>5.1944289077348058</v>
      </c>
      <c r="AD57" s="53">
        <v>2312</v>
      </c>
      <c r="AE57" s="65">
        <f>0.00006*2</f>
        <v>1.2E-4</v>
      </c>
      <c r="AF57" s="51">
        <v>835</v>
      </c>
      <c r="AG57" s="11">
        <f t="shared" si="42"/>
        <v>19.857650233127046</v>
      </c>
      <c r="AH57" s="11">
        <f t="shared" si="43"/>
        <v>20.190735893710443</v>
      </c>
      <c r="AI57" s="54"/>
      <c r="AJ57" s="4"/>
      <c r="AK57" s="4"/>
      <c r="AL57" s="75"/>
      <c r="AM57" s="75"/>
      <c r="AN57" s="55"/>
      <c r="AO57" s="46">
        <v>4</v>
      </c>
      <c r="AP57" s="53">
        <v>3</v>
      </c>
      <c r="AQ57" s="71">
        <f t="shared" si="44"/>
        <v>2</v>
      </c>
      <c r="AT57" s="18">
        <f t="shared" si="45"/>
        <v>20.190735893710443</v>
      </c>
      <c r="AU57" s="18">
        <f t="shared" si="46"/>
        <v>19.857650233127046</v>
      </c>
      <c r="AV57" s="18">
        <f t="shared" si="47"/>
        <v>0.3330856605833965</v>
      </c>
      <c r="AX57" s="18">
        <f t="shared" si="48"/>
        <v>18.494866638157042</v>
      </c>
      <c r="AY57" s="18">
        <f t="shared" si="49"/>
        <v>1.3627835949700042</v>
      </c>
      <c r="BA57" s="17">
        <f t="shared" si="50"/>
        <v>830</v>
      </c>
      <c r="BB57" s="17">
        <f t="shared" si="51"/>
        <v>2257</v>
      </c>
      <c r="BC57" s="5" t="str">
        <f t="shared" si="52"/>
        <v>30-35</v>
      </c>
      <c r="BD57" s="5" t="str">
        <f t="shared" si="53"/>
        <v>&lt;2EXP-4</v>
      </c>
      <c r="BE57" s="5" t="str">
        <f t="shared" si="54"/>
        <v>600-900</v>
      </c>
      <c r="BF57" s="5" t="str">
        <f t="shared" si="55"/>
        <v>2000-2500</v>
      </c>
      <c r="BG57" s="5" t="str">
        <f t="shared" si="56"/>
        <v>SE</v>
      </c>
      <c r="BH57" s="5" t="str">
        <f t="shared" si="57"/>
        <v>80-100</v>
      </c>
      <c r="BI57" s="5" t="str">
        <f t="shared" si="58"/>
        <v>30-32</v>
      </c>
      <c r="BK57" s="5">
        <f t="shared" si="59"/>
        <v>1</v>
      </c>
      <c r="BL57" s="5">
        <f t="shared" si="60"/>
        <v>0</v>
      </c>
      <c r="BM57" s="5">
        <f t="shared" si="61"/>
        <v>1</v>
      </c>
      <c r="BN57" s="5">
        <f t="shared" si="62"/>
        <v>1</v>
      </c>
      <c r="BO57" s="5">
        <f t="shared" si="63"/>
        <v>0</v>
      </c>
      <c r="BP57" s="5">
        <f t="shared" si="64"/>
        <v>0</v>
      </c>
      <c r="BQ57" s="5">
        <f t="shared" si="65"/>
        <v>0</v>
      </c>
      <c r="BR57" s="5">
        <f t="shared" si="66"/>
        <v>0</v>
      </c>
      <c r="BS57" s="5">
        <f t="shared" si="67"/>
        <v>1</v>
      </c>
      <c r="BU57" s="18">
        <f t="shared" si="68"/>
        <v>17.459904370306575</v>
      </c>
      <c r="BV57" s="18">
        <f t="shared" si="69"/>
        <v>2.3977458628204715</v>
      </c>
      <c r="BW57" s="18">
        <f t="shared" si="70"/>
        <v>0.76774586282047164</v>
      </c>
      <c r="BX57" s="18">
        <f t="shared" si="71"/>
        <v>4.0277458628204714</v>
      </c>
      <c r="BY57" s="5">
        <f t="shared" si="72"/>
        <v>1</v>
      </c>
      <c r="CB57" s="18"/>
      <c r="CC57" s="18" t="str">
        <f t="shared" si="76"/>
        <v xml:space="preserve"> </v>
      </c>
    </row>
    <row r="58" spans="1:81" s="47" customFormat="1" ht="9" customHeight="1" x14ac:dyDescent="0.15">
      <c r="A58" s="43" t="s">
        <v>197</v>
      </c>
      <c r="B58" s="44" t="str">
        <f>MID(A58,1,6)</f>
        <v>RDT183</v>
      </c>
      <c r="C58" s="43" t="s">
        <v>198</v>
      </c>
      <c r="D58" s="48">
        <v>2</v>
      </c>
      <c r="E58" s="45">
        <v>135</v>
      </c>
      <c r="F58" s="8">
        <f t="shared" si="74"/>
        <v>4</v>
      </c>
      <c r="G58" s="45">
        <v>2850</v>
      </c>
      <c r="H58" s="49">
        <v>2550</v>
      </c>
      <c r="I58" s="49">
        <v>541</v>
      </c>
      <c r="J58" s="45">
        <v>123</v>
      </c>
      <c r="K58" s="85">
        <f t="shared" si="38"/>
        <v>39.111391253954345</v>
      </c>
      <c r="L58" s="11">
        <f t="shared" si="39"/>
        <v>16.23</v>
      </c>
      <c r="M58" s="10">
        <f t="shared" si="40"/>
        <v>4</v>
      </c>
      <c r="N58" s="4">
        <v>2762</v>
      </c>
      <c r="O58" s="90">
        <f t="shared" si="41"/>
        <v>84.568279240661354</v>
      </c>
      <c r="P58" s="46">
        <v>4</v>
      </c>
      <c r="Q58" s="46">
        <v>1615</v>
      </c>
      <c r="R58" s="46">
        <v>264</v>
      </c>
      <c r="S58" s="46">
        <v>1567</v>
      </c>
      <c r="T58" s="85">
        <f t="shared" si="75"/>
        <v>10.304846468766033</v>
      </c>
      <c r="U58" s="46"/>
      <c r="V58" s="46">
        <v>30</v>
      </c>
      <c r="W58" s="46">
        <v>1577</v>
      </c>
      <c r="X58" s="10">
        <f>DEGREES(ATAN((W58-S58)/V58))</f>
        <v>18.43494882292201</v>
      </c>
      <c r="Y58" s="52">
        <f>S58</f>
        <v>1567</v>
      </c>
      <c r="Z58" s="51">
        <f>R58+V58-U58</f>
        <v>294</v>
      </c>
      <c r="AA58" s="46"/>
      <c r="AB58" s="46"/>
      <c r="AC58" s="85">
        <f>T58</f>
        <v>10.304846468766033</v>
      </c>
      <c r="AD58" s="53">
        <v>3266</v>
      </c>
      <c r="AE58" s="65">
        <f>0.00008*2</f>
        <v>1.6000000000000001E-4</v>
      </c>
      <c r="AF58" s="51">
        <f>G58-S58</f>
        <v>1283</v>
      </c>
      <c r="AG58" s="11">
        <f t="shared" si="42"/>
        <v>21.44665077885351</v>
      </c>
      <c r="AH58" s="50">
        <f t="shared" si="43"/>
        <v>22.565087575678248</v>
      </c>
      <c r="AI58" s="54"/>
      <c r="AJ58" s="4"/>
      <c r="AK58" s="4"/>
      <c r="AL58" s="75"/>
      <c r="AM58" s="75"/>
      <c r="AN58" s="55"/>
      <c r="AO58" s="46">
        <v>4</v>
      </c>
      <c r="AP58" s="53">
        <v>4</v>
      </c>
      <c r="AQ58" s="71">
        <f t="shared" si="44"/>
        <v>2</v>
      </c>
      <c r="AT58" s="18">
        <f t="shared" si="45"/>
        <v>22.565087575678248</v>
      </c>
      <c r="AU58" s="18">
        <f t="shared" si="46"/>
        <v>21.44665077885351</v>
      </c>
      <c r="AV58" s="18">
        <f t="shared" si="47"/>
        <v>1.1184367968247386</v>
      </c>
      <c r="AX58" s="18">
        <f t="shared" si="48"/>
        <v>19.369117433272251</v>
      </c>
      <c r="AY58" s="18">
        <f t="shared" si="49"/>
        <v>2.0775333455812586</v>
      </c>
      <c r="BA58" s="17">
        <f t="shared" si="50"/>
        <v>1235</v>
      </c>
      <c r="BB58" s="17">
        <f t="shared" si="51"/>
        <v>2972</v>
      </c>
      <c r="BC58" s="5" t="str">
        <f t="shared" si="52"/>
        <v>35-40</v>
      </c>
      <c r="BD58" s="5" t="str">
        <f t="shared" si="53"/>
        <v>&lt;2EXP-4</v>
      </c>
      <c r="BE58" s="5" t="str">
        <f t="shared" si="54"/>
        <v>1200-1500</v>
      </c>
      <c r="BF58" s="5" t="str">
        <f t="shared" si="55"/>
        <v>&gt;2500</v>
      </c>
      <c r="BG58" s="5" t="str">
        <f t="shared" si="56"/>
        <v>SE</v>
      </c>
      <c r="BH58" s="5" t="str">
        <f t="shared" si="57"/>
        <v>80-100</v>
      </c>
      <c r="BI58" s="5" t="str">
        <f t="shared" si="58"/>
        <v>38-40</v>
      </c>
      <c r="BK58" s="5">
        <f t="shared" si="59"/>
        <v>1</v>
      </c>
      <c r="BL58" s="5">
        <f t="shared" si="60"/>
        <v>0</v>
      </c>
      <c r="BM58" s="5">
        <f t="shared" si="61"/>
        <v>1</v>
      </c>
      <c r="BN58" s="5">
        <f t="shared" si="62"/>
        <v>0</v>
      </c>
      <c r="BO58" s="5">
        <f t="shared" si="63"/>
        <v>0</v>
      </c>
      <c r="BP58" s="5">
        <f t="shared" si="64"/>
        <v>0</v>
      </c>
      <c r="BQ58" s="5">
        <f t="shared" si="65"/>
        <v>0</v>
      </c>
      <c r="BR58" s="5">
        <f t="shared" si="66"/>
        <v>0</v>
      </c>
      <c r="BS58" s="5">
        <f t="shared" si="67"/>
        <v>1</v>
      </c>
      <c r="BU58" s="18">
        <f t="shared" si="68"/>
        <v>20.416490917818493</v>
      </c>
      <c r="BV58" s="18">
        <f t="shared" si="69"/>
        <v>1.0301598610350169</v>
      </c>
      <c r="BW58" s="18">
        <f t="shared" si="70"/>
        <v>-0.59984013896498301</v>
      </c>
      <c r="BX58" s="18">
        <f t="shared" si="71"/>
        <v>2.6601598610350168</v>
      </c>
      <c r="BY58" s="5" t="str">
        <f t="shared" si="72"/>
        <v/>
      </c>
      <c r="CB58" s="18"/>
      <c r="CC58" s="18" t="str">
        <f t="shared" si="76"/>
        <v xml:space="preserve"> </v>
      </c>
    </row>
    <row r="59" spans="1:81" s="47" customFormat="1" ht="9" customHeight="1" x14ac:dyDescent="0.15">
      <c r="A59" s="43" t="s">
        <v>241</v>
      </c>
      <c r="B59" s="44" t="str">
        <f>MID(A59,1,6)</f>
        <v>RDT196</v>
      </c>
      <c r="C59" s="43"/>
      <c r="D59" s="48">
        <v>2</v>
      </c>
      <c r="E59" s="49">
        <v>225</v>
      </c>
      <c r="F59" s="8">
        <f t="shared" si="74"/>
        <v>6</v>
      </c>
      <c r="G59" s="45">
        <v>2825</v>
      </c>
      <c r="H59" s="49">
        <v>2300</v>
      </c>
      <c r="I59" s="49">
        <v>470</v>
      </c>
      <c r="J59" s="45">
        <v>140</v>
      </c>
      <c r="K59" s="85">
        <f t="shared" si="38"/>
        <v>35.537677791974382</v>
      </c>
      <c r="L59" s="11">
        <f t="shared" si="39"/>
        <v>24.675000000000001</v>
      </c>
      <c r="M59" s="10">
        <f t="shared" si="40"/>
        <v>4</v>
      </c>
      <c r="N59" s="4">
        <v>1959</v>
      </c>
      <c r="O59" s="90">
        <f t="shared" si="41"/>
        <v>55.059021922428329</v>
      </c>
      <c r="P59" s="46">
        <v>1</v>
      </c>
      <c r="Q59" s="46">
        <v>1565</v>
      </c>
      <c r="R59" s="46">
        <v>623</v>
      </c>
      <c r="S59" s="46">
        <v>1464</v>
      </c>
      <c r="T59" s="85">
        <f t="shared" si="75"/>
        <v>9.2086046031458313</v>
      </c>
      <c r="U59" s="46"/>
      <c r="V59" s="46"/>
      <c r="W59" s="46"/>
      <c r="X59" s="10"/>
      <c r="Y59" s="52">
        <f>S59</f>
        <v>1464</v>
      </c>
      <c r="Z59" s="51">
        <f>R59+V59-U59</f>
        <v>623</v>
      </c>
      <c r="AA59" s="46"/>
      <c r="AB59" s="46"/>
      <c r="AC59" s="85">
        <f>T59</f>
        <v>9.2086046031458313</v>
      </c>
      <c r="AD59" s="53">
        <v>3558</v>
      </c>
      <c r="AE59" s="67">
        <f>0.00009*2</f>
        <v>1.8000000000000001E-4</v>
      </c>
      <c r="AF59" s="51">
        <f>G59-S59</f>
        <v>1361</v>
      </c>
      <c r="AG59" s="11">
        <f t="shared" si="42"/>
        <v>20.932765658542596</v>
      </c>
      <c r="AH59" s="50">
        <f t="shared" si="43"/>
        <v>23.233921925108035</v>
      </c>
      <c r="AI59" s="54"/>
      <c r="AJ59" s="4"/>
      <c r="AK59" s="4"/>
      <c r="AL59" s="75"/>
      <c r="AM59" s="75"/>
      <c r="AN59" s="55"/>
      <c r="AO59" s="46">
        <v>4</v>
      </c>
      <c r="AP59" s="53">
        <v>4</v>
      </c>
      <c r="AQ59" s="71">
        <f t="shared" si="44"/>
        <v>2</v>
      </c>
      <c r="AT59" s="18">
        <f t="shared" si="45"/>
        <v>23.233921925108035</v>
      </c>
      <c r="AU59" s="18">
        <f t="shared" si="46"/>
        <v>20.932765658542596</v>
      </c>
      <c r="AV59" s="18">
        <f t="shared" si="47"/>
        <v>2.3011562665654388</v>
      </c>
      <c r="AX59" s="18">
        <f t="shared" si="48"/>
        <v>19.59211988233319</v>
      </c>
      <c r="AY59" s="18">
        <f t="shared" si="49"/>
        <v>1.3406457762094064</v>
      </c>
      <c r="BA59" s="17">
        <f t="shared" si="50"/>
        <v>1260</v>
      </c>
      <c r="BB59" s="17">
        <f t="shared" si="51"/>
        <v>2935</v>
      </c>
      <c r="BC59" s="5" t="str">
        <f t="shared" si="52"/>
        <v>35-40</v>
      </c>
      <c r="BD59" s="5" t="str">
        <f t="shared" si="53"/>
        <v>&lt;2EXP-4</v>
      </c>
      <c r="BE59" s="5" t="str">
        <f t="shared" si="54"/>
        <v>1200-1500</v>
      </c>
      <c r="BF59" s="5" t="str">
        <f t="shared" si="55"/>
        <v>&gt;2500</v>
      </c>
      <c r="BG59" s="5" t="str">
        <f t="shared" si="56"/>
        <v>NW</v>
      </c>
      <c r="BH59" s="5" t="str">
        <f t="shared" si="57"/>
        <v>40-60</v>
      </c>
      <c r="BI59" s="5" t="str">
        <f t="shared" si="58"/>
        <v>34-36</v>
      </c>
      <c r="BK59" s="5">
        <f t="shared" si="59"/>
        <v>1</v>
      </c>
      <c r="BL59" s="5">
        <f t="shared" si="60"/>
        <v>0</v>
      </c>
      <c r="BM59" s="5">
        <f t="shared" si="61"/>
        <v>1</v>
      </c>
      <c r="BN59" s="5">
        <f t="shared" si="62"/>
        <v>0</v>
      </c>
      <c r="BO59" s="5">
        <f t="shared" si="63"/>
        <v>0</v>
      </c>
      <c r="BP59" s="5">
        <f t="shared" si="64"/>
        <v>0</v>
      </c>
      <c r="BQ59" s="5">
        <f t="shared" si="65"/>
        <v>1</v>
      </c>
      <c r="BR59" s="5">
        <f t="shared" si="66"/>
        <v>1</v>
      </c>
      <c r="BS59" s="5">
        <f t="shared" si="67"/>
        <v>1</v>
      </c>
      <c r="BU59" s="18">
        <f t="shared" si="68"/>
        <v>20.431373263958637</v>
      </c>
      <c r="BV59" s="18">
        <f t="shared" si="69"/>
        <v>0.50139239458395934</v>
      </c>
      <c r="BW59" s="18">
        <f t="shared" si="70"/>
        <v>-1.1286076054160405</v>
      </c>
      <c r="BX59" s="18">
        <f t="shared" si="71"/>
        <v>2.1313923945839592</v>
      </c>
      <c r="BY59" s="5" t="str">
        <f t="shared" si="72"/>
        <v/>
      </c>
      <c r="CB59" s="18"/>
      <c r="CC59" s="18"/>
    </row>
    <row r="60" spans="1:81" s="47" customFormat="1" ht="9" customHeight="1" x14ac:dyDescent="0.15">
      <c r="A60" s="43" t="s">
        <v>87</v>
      </c>
      <c r="B60" s="44" t="s">
        <v>88</v>
      </c>
      <c r="C60" s="43" t="s">
        <v>89</v>
      </c>
      <c r="D60" s="48">
        <v>5</v>
      </c>
      <c r="E60" s="49">
        <v>340</v>
      </c>
      <c r="F60" s="8">
        <v>1</v>
      </c>
      <c r="G60" s="45">
        <v>2685</v>
      </c>
      <c r="H60" s="49">
        <v>2400</v>
      </c>
      <c r="I60" s="49">
        <v>526</v>
      </c>
      <c r="J60" s="45">
        <v>167</v>
      </c>
      <c r="K60" s="85">
        <f t="shared" si="38"/>
        <v>30.913275682128514</v>
      </c>
      <c r="L60" s="11">
        <f t="shared" si="39"/>
        <v>14.991</v>
      </c>
      <c r="M60" s="10">
        <f t="shared" si="40"/>
        <v>4</v>
      </c>
      <c r="N60" s="4">
        <v>0</v>
      </c>
      <c r="O60" s="90">
        <f t="shared" si="41"/>
        <v>0</v>
      </c>
      <c r="P60" s="46">
        <v>1</v>
      </c>
      <c r="Q60" s="46">
        <v>1830</v>
      </c>
      <c r="R60" s="46">
        <v>230</v>
      </c>
      <c r="S60" s="46">
        <v>1810</v>
      </c>
      <c r="T60" s="85">
        <f t="shared" si="75"/>
        <v>4.9697407281103043</v>
      </c>
      <c r="U60" s="46"/>
      <c r="V60" s="46"/>
      <c r="W60" s="46"/>
      <c r="X60" s="10"/>
      <c r="Y60" s="52">
        <v>1810</v>
      </c>
      <c r="Z60" s="51">
        <v>230</v>
      </c>
      <c r="AA60" s="46"/>
      <c r="AB60" s="46"/>
      <c r="AC60" s="85">
        <v>4.9697407281103043</v>
      </c>
      <c r="AD60" s="53">
        <v>1842</v>
      </c>
      <c r="AE60" s="65">
        <f>0.0002*2</f>
        <v>4.0000000000000002E-4</v>
      </c>
      <c r="AF60" s="51">
        <v>875</v>
      </c>
      <c r="AG60" s="11">
        <f t="shared" si="42"/>
        <v>25.40898704819887</v>
      </c>
      <c r="AH60" s="50">
        <f t="shared" si="43"/>
        <v>27.941345954498455</v>
      </c>
      <c r="AI60" s="54"/>
      <c r="AJ60" s="4"/>
      <c r="AK60" s="4"/>
      <c r="AL60" s="75"/>
      <c r="AM60" s="75"/>
      <c r="AN60" s="55"/>
      <c r="AO60" s="46">
        <v>4</v>
      </c>
      <c r="AP60" s="53">
        <v>3</v>
      </c>
      <c r="AQ60" s="71">
        <f t="shared" si="44"/>
        <v>2</v>
      </c>
      <c r="AT60" s="18">
        <f t="shared" si="45"/>
        <v>27.941345954498455</v>
      </c>
      <c r="AU60" s="18">
        <f t="shared" si="46"/>
        <v>25.40898704819887</v>
      </c>
      <c r="AV60" s="18">
        <f t="shared" si="47"/>
        <v>2.532358906299585</v>
      </c>
      <c r="AX60" s="18">
        <f t="shared" si="48"/>
        <v>24.93283638496381</v>
      </c>
      <c r="AY60" s="18">
        <f t="shared" si="49"/>
        <v>0.47615066323506028</v>
      </c>
      <c r="BA60" s="17">
        <f t="shared" si="50"/>
        <v>855</v>
      </c>
      <c r="BB60" s="17">
        <f t="shared" si="51"/>
        <v>1612</v>
      </c>
      <c r="BC60" s="5" t="str">
        <f t="shared" si="52"/>
        <v>30-35</v>
      </c>
      <c r="BD60" s="5" t="str">
        <f t="shared" si="53"/>
        <v>4EXP-4-6EXP-4</v>
      </c>
      <c r="BE60" s="5" t="str">
        <f t="shared" si="54"/>
        <v>600-900</v>
      </c>
      <c r="BF60" s="5" t="str">
        <f t="shared" si="55"/>
        <v>1500-2000</v>
      </c>
      <c r="BG60" s="5" t="str">
        <f t="shared" si="56"/>
        <v>NW</v>
      </c>
      <c r="BH60" s="5" t="str">
        <f t="shared" si="57"/>
        <v>0-20</v>
      </c>
      <c r="BI60" s="5" t="str">
        <f t="shared" si="58"/>
        <v>30-32</v>
      </c>
      <c r="BK60" s="5">
        <f t="shared" si="59"/>
        <v>1</v>
      </c>
      <c r="BL60" s="5">
        <f t="shared" si="60"/>
        <v>0</v>
      </c>
      <c r="BM60" s="5">
        <f t="shared" si="61"/>
        <v>1</v>
      </c>
      <c r="BN60" s="5">
        <f t="shared" si="62"/>
        <v>1</v>
      </c>
      <c r="BO60" s="5">
        <f t="shared" si="63"/>
        <v>0</v>
      </c>
      <c r="BP60" s="5">
        <f t="shared" si="64"/>
        <v>0</v>
      </c>
      <c r="BQ60" s="5">
        <f t="shared" si="65"/>
        <v>1</v>
      </c>
      <c r="BR60" s="5">
        <f t="shared" si="66"/>
        <v>1</v>
      </c>
      <c r="BS60" s="5">
        <f t="shared" si="67"/>
        <v>1</v>
      </c>
      <c r="BU60" s="18">
        <f t="shared" si="68"/>
        <v>24.054423740644488</v>
      </c>
      <c r="BV60" s="18">
        <f t="shared" si="69"/>
        <v>1.3545633075543826</v>
      </c>
      <c r="BW60" s="18">
        <f t="shared" si="70"/>
        <v>-0.2754366924456173</v>
      </c>
      <c r="BX60" s="18">
        <f t="shared" si="71"/>
        <v>2.9845633075543825</v>
      </c>
      <c r="BY60" s="5" t="str">
        <f t="shared" si="72"/>
        <v/>
      </c>
      <c r="CB60" s="18"/>
      <c r="CC60" s="18"/>
    </row>
    <row r="61" spans="1:81" s="47" customFormat="1" ht="9" customHeight="1" x14ac:dyDescent="0.15">
      <c r="A61" s="70" t="s">
        <v>90</v>
      </c>
      <c r="B61" s="44" t="s">
        <v>91</v>
      </c>
      <c r="C61" s="60" t="s">
        <v>92</v>
      </c>
      <c r="D61" s="48">
        <v>5</v>
      </c>
      <c r="E61" s="45">
        <v>305</v>
      </c>
      <c r="F61" s="8">
        <f>IF(E61&lt;22.5,1,IF(E61&lt;67.5,2,IF(E61&lt;112.5,3,IF(E61&lt;157.5,4,IF(E61&lt;202.5,5,IF(E61&lt;247.5,6,IF(E61&lt;292.5,7,IF(E61&lt;337.5,8,"1"))))))))</f>
        <v>8</v>
      </c>
      <c r="G61" s="47">
        <v>2250</v>
      </c>
      <c r="H61" s="58">
        <v>2180</v>
      </c>
      <c r="I61" s="58">
        <v>137</v>
      </c>
      <c r="J61" s="45">
        <v>161</v>
      </c>
      <c r="K61" s="85">
        <f t="shared" si="38"/>
        <v>31.845160528655661</v>
      </c>
      <c r="L61" s="11">
        <f t="shared" si="39"/>
        <v>0.95899999999999996</v>
      </c>
      <c r="M61" s="10">
        <f t="shared" si="40"/>
        <v>2</v>
      </c>
      <c r="N61" s="4">
        <v>1112</v>
      </c>
      <c r="O61" s="90">
        <f t="shared" si="41"/>
        <v>75.492192803801757</v>
      </c>
      <c r="P61" s="46">
        <v>1</v>
      </c>
      <c r="Q61" s="46">
        <v>1455</v>
      </c>
      <c r="R61" s="56"/>
      <c r="S61" s="56">
        <v>1512</v>
      </c>
      <c r="T61" s="85"/>
      <c r="U61" s="56">
        <v>240</v>
      </c>
      <c r="V61" s="56"/>
      <c r="W61" s="56"/>
      <c r="X61" s="10"/>
      <c r="Y61" s="52">
        <v>1510</v>
      </c>
      <c r="Z61" s="51">
        <f>-U61</f>
        <v>-240</v>
      </c>
      <c r="AA61" s="46">
        <v>110</v>
      </c>
      <c r="AB61" s="46">
        <v>40</v>
      </c>
      <c r="AC61" s="85">
        <v>19.98310652189998</v>
      </c>
      <c r="AD61" s="53">
        <v>1473</v>
      </c>
      <c r="AE61" s="65">
        <f>0.0001*2</f>
        <v>2.0000000000000001E-4</v>
      </c>
      <c r="AF61" s="51">
        <v>740</v>
      </c>
      <c r="AG61" s="11">
        <f t="shared" si="42"/>
        <v>26.673860177197266</v>
      </c>
      <c r="AH61" s="50">
        <f t="shared" si="43"/>
        <v>24.895923681909121</v>
      </c>
      <c r="AI61" s="54"/>
      <c r="AJ61" s="4"/>
      <c r="AK61" s="4"/>
      <c r="AL61" s="75"/>
      <c r="AM61" s="75"/>
      <c r="AN61" s="57"/>
      <c r="AO61" s="46">
        <v>4</v>
      </c>
      <c r="AP61" s="53">
        <v>6</v>
      </c>
      <c r="AQ61" s="71">
        <f t="shared" si="44"/>
        <v>3</v>
      </c>
      <c r="AT61" s="18">
        <f t="shared" si="45"/>
        <v>24.895923681909121</v>
      </c>
      <c r="AU61" s="18">
        <f t="shared" si="46"/>
        <v>26.673860177197266</v>
      </c>
      <c r="AV61" s="18">
        <f t="shared" si="47"/>
        <v>-1.7779364952881451</v>
      </c>
      <c r="AX61" s="18">
        <f t="shared" si="48"/>
        <v>24.256861235070023</v>
      </c>
      <c r="AY61" s="18">
        <f t="shared" si="49"/>
        <v>2.4169989421272433</v>
      </c>
      <c r="BA61" s="17">
        <f t="shared" si="50"/>
        <v>795</v>
      </c>
      <c r="BB61" s="17">
        <f t="shared" si="51"/>
        <v>1713</v>
      </c>
      <c r="BC61" s="5" t="str">
        <f t="shared" si="52"/>
        <v>30-35</v>
      </c>
      <c r="BD61" s="5" t="str">
        <f t="shared" si="53"/>
        <v>2EXP-4-4EXP-4</v>
      </c>
      <c r="BE61" s="5" t="str">
        <f t="shared" si="54"/>
        <v>600-900</v>
      </c>
      <c r="BF61" s="5" t="str">
        <f t="shared" si="55"/>
        <v>1000-1500</v>
      </c>
      <c r="BG61" s="5" t="str">
        <f t="shared" si="56"/>
        <v>NW</v>
      </c>
      <c r="BH61" s="5" t="str">
        <f t="shared" si="57"/>
        <v>60-80</v>
      </c>
      <c r="BI61" s="5" t="str">
        <f t="shared" si="58"/>
        <v>30-32</v>
      </c>
      <c r="BK61" s="5">
        <f t="shared" si="59"/>
        <v>1</v>
      </c>
      <c r="BL61" s="5">
        <f t="shared" si="60"/>
        <v>0</v>
      </c>
      <c r="BM61" s="5">
        <f t="shared" si="61"/>
        <v>1</v>
      </c>
      <c r="BN61" s="5">
        <f t="shared" si="62"/>
        <v>1</v>
      </c>
      <c r="BO61" s="5">
        <f t="shared" si="63"/>
        <v>0</v>
      </c>
      <c r="BP61" s="5">
        <f t="shared" si="64"/>
        <v>1</v>
      </c>
      <c r="BQ61" s="5">
        <f t="shared" si="65"/>
        <v>1</v>
      </c>
      <c r="BR61" s="5">
        <f t="shared" si="66"/>
        <v>0</v>
      </c>
      <c r="BS61" s="5">
        <f t="shared" si="67"/>
        <v>0</v>
      </c>
      <c r="BU61" s="18">
        <f t="shared" si="68"/>
        <v>25.037928077784475</v>
      </c>
      <c r="BV61" s="18">
        <f t="shared" si="69"/>
        <v>1.6359320994127913</v>
      </c>
      <c r="BW61" s="18">
        <f t="shared" si="70"/>
        <v>5.9320994127913806E-3</v>
      </c>
      <c r="BX61" s="18">
        <f t="shared" si="71"/>
        <v>3.2659320994127912</v>
      </c>
      <c r="BY61" s="5">
        <f t="shared" si="72"/>
        <v>1</v>
      </c>
      <c r="CB61" s="18"/>
      <c r="CC61" s="18"/>
    </row>
    <row r="62" spans="1:81" s="47" customFormat="1" ht="9" customHeight="1" x14ac:dyDescent="0.15">
      <c r="A62" s="69" t="s">
        <v>93</v>
      </c>
      <c r="B62" s="44" t="s">
        <v>94</v>
      </c>
      <c r="C62" s="43" t="s">
        <v>95</v>
      </c>
      <c r="D62" s="48">
        <v>5</v>
      </c>
      <c r="E62" s="49">
        <v>360</v>
      </c>
      <c r="F62" s="8">
        <v>1</v>
      </c>
      <c r="G62" s="45">
        <v>2225</v>
      </c>
      <c r="H62" s="58">
        <v>2100</v>
      </c>
      <c r="I62" s="45">
        <v>30</v>
      </c>
      <c r="J62" s="45">
        <v>147</v>
      </c>
      <c r="K62" s="85">
        <f t="shared" si="38"/>
        <v>34.226361812223821</v>
      </c>
      <c r="L62" s="11">
        <f t="shared" si="39"/>
        <v>0.375</v>
      </c>
      <c r="M62" s="10">
        <f t="shared" si="40"/>
        <v>1</v>
      </c>
      <c r="N62" s="4">
        <v>716</v>
      </c>
      <c r="O62" s="90">
        <f t="shared" si="41"/>
        <v>64.73779385171791</v>
      </c>
      <c r="P62" s="46">
        <v>1</v>
      </c>
      <c r="Q62" s="46">
        <v>1625</v>
      </c>
      <c r="R62" s="46"/>
      <c r="S62" s="46">
        <v>1670</v>
      </c>
      <c r="T62" s="85"/>
      <c r="U62" s="46">
        <v>144</v>
      </c>
      <c r="V62" s="46"/>
      <c r="W62" s="46"/>
      <c r="X62" s="10"/>
      <c r="Y62" s="52">
        <v>1670</v>
      </c>
      <c r="Z62" s="51">
        <v>-144</v>
      </c>
      <c r="AA62" s="46">
        <v>68</v>
      </c>
      <c r="AB62" s="46">
        <v>20</v>
      </c>
      <c r="AC62" s="85">
        <v>16.389540334034784</v>
      </c>
      <c r="AD62" s="53">
        <v>1106</v>
      </c>
      <c r="AE62" s="65">
        <f>0.0002*2</f>
        <v>4.0000000000000002E-4</v>
      </c>
      <c r="AF62" s="51">
        <v>555</v>
      </c>
      <c r="AG62" s="11">
        <f t="shared" si="42"/>
        <v>26.647878411774304</v>
      </c>
      <c r="AH62" s="50">
        <f t="shared" si="43"/>
        <v>25.641005824305282</v>
      </c>
      <c r="AI62" s="54"/>
      <c r="AJ62" s="4"/>
      <c r="AK62" s="4"/>
      <c r="AL62" s="75"/>
      <c r="AM62" s="75"/>
      <c r="AN62" s="55"/>
      <c r="AO62" s="46">
        <v>4</v>
      </c>
      <c r="AP62" s="53">
        <v>6</v>
      </c>
      <c r="AQ62" s="71">
        <f t="shared" si="44"/>
        <v>3</v>
      </c>
      <c r="AT62" s="18">
        <f t="shared" si="45"/>
        <v>25.641005824305282</v>
      </c>
      <c r="AU62" s="18">
        <f t="shared" si="46"/>
        <v>26.647878411774304</v>
      </c>
      <c r="AV62" s="18">
        <f t="shared" si="47"/>
        <v>-1.0068725874690223</v>
      </c>
      <c r="AX62" s="18">
        <f t="shared" si="48"/>
        <v>25.847574484715068</v>
      </c>
      <c r="AY62" s="18">
        <f t="shared" si="49"/>
        <v>0.80030392705923603</v>
      </c>
      <c r="BA62" s="17">
        <f t="shared" si="50"/>
        <v>600</v>
      </c>
      <c r="BB62" s="17">
        <f t="shared" si="51"/>
        <v>1250</v>
      </c>
      <c r="BC62" s="5" t="str">
        <f t="shared" si="52"/>
        <v>30-35</v>
      </c>
      <c r="BD62" s="5" t="str">
        <f t="shared" si="53"/>
        <v>4EXP-4-6EXP-4</v>
      </c>
      <c r="BE62" s="5" t="str">
        <f t="shared" si="54"/>
        <v>600-900</v>
      </c>
      <c r="BF62" s="5" t="str">
        <f t="shared" si="55"/>
        <v>1000-1500</v>
      </c>
      <c r="BG62" s="5" t="str">
        <f t="shared" si="56"/>
        <v>NW</v>
      </c>
      <c r="BH62" s="5" t="str">
        <f t="shared" si="57"/>
        <v>60-80</v>
      </c>
      <c r="BI62" s="5" t="str">
        <f t="shared" si="58"/>
        <v>34-36</v>
      </c>
      <c r="BK62" s="5">
        <f t="shared" si="59"/>
        <v>1</v>
      </c>
      <c r="BL62" s="5">
        <f t="shared" si="60"/>
        <v>0</v>
      </c>
      <c r="BM62" s="5">
        <f t="shared" si="61"/>
        <v>0</v>
      </c>
      <c r="BN62" s="5">
        <f t="shared" si="62"/>
        <v>1</v>
      </c>
      <c r="BO62" s="5">
        <f t="shared" si="63"/>
        <v>0</v>
      </c>
      <c r="BP62" s="5">
        <f t="shared" si="64"/>
        <v>1</v>
      </c>
      <c r="BQ62" s="5">
        <f t="shared" si="65"/>
        <v>1</v>
      </c>
      <c r="BR62" s="5">
        <f t="shared" si="66"/>
        <v>0</v>
      </c>
      <c r="BS62" s="5">
        <f t="shared" si="67"/>
        <v>0</v>
      </c>
      <c r="BU62" s="18">
        <f t="shared" si="68"/>
        <v>26.500837377370392</v>
      </c>
      <c r="BV62" s="18">
        <f t="shared" si="69"/>
        <v>0.14704103440391236</v>
      </c>
      <c r="BW62" s="18">
        <f t="shared" si="70"/>
        <v>-1.4829589655960875</v>
      </c>
      <c r="BX62" s="18">
        <f t="shared" si="71"/>
        <v>1.7770410344039123</v>
      </c>
      <c r="BY62" s="5" t="str">
        <f t="shared" si="72"/>
        <v/>
      </c>
      <c r="CB62" s="18"/>
      <c r="CC62" s="18"/>
    </row>
    <row r="63" spans="1:81" s="47" customFormat="1" ht="9" customHeight="1" x14ac:dyDescent="0.15">
      <c r="A63" s="69" t="s">
        <v>96</v>
      </c>
      <c r="B63" s="44" t="s">
        <v>97</v>
      </c>
      <c r="C63" s="43" t="s">
        <v>98</v>
      </c>
      <c r="D63" s="48">
        <v>5</v>
      </c>
      <c r="E63" s="49">
        <v>350</v>
      </c>
      <c r="F63" s="8">
        <v>1</v>
      </c>
      <c r="G63" s="45">
        <v>2200</v>
      </c>
      <c r="H63" s="58">
        <v>2050</v>
      </c>
      <c r="I63" s="49">
        <v>30</v>
      </c>
      <c r="J63" s="45">
        <v>148</v>
      </c>
      <c r="K63" s="85">
        <f t="shared" si="38"/>
        <v>34.045937356601662</v>
      </c>
      <c r="L63" s="50">
        <f t="shared" si="39"/>
        <v>0.45</v>
      </c>
      <c r="M63" s="10">
        <f t="shared" si="40"/>
        <v>1</v>
      </c>
      <c r="N63" s="4">
        <v>812</v>
      </c>
      <c r="O63" s="90">
        <f t="shared" si="41"/>
        <v>74.020054694621692</v>
      </c>
      <c r="P63" s="46">
        <v>1</v>
      </c>
      <c r="Q63" s="46">
        <v>1630</v>
      </c>
      <c r="R63" s="46"/>
      <c r="S63" s="59">
        <v>1670</v>
      </c>
      <c r="T63" s="85"/>
      <c r="U63" s="46">
        <v>176</v>
      </c>
      <c r="V63" s="46"/>
      <c r="W63" s="46"/>
      <c r="X63" s="10"/>
      <c r="Y63" s="52">
        <v>1670</v>
      </c>
      <c r="Z63" s="51">
        <v>-176</v>
      </c>
      <c r="AA63" s="46">
        <v>84</v>
      </c>
      <c r="AB63" s="46">
        <v>30</v>
      </c>
      <c r="AC63" s="85">
        <v>19.65382405805331</v>
      </c>
      <c r="AD63" s="53">
        <v>1097</v>
      </c>
      <c r="AE63" s="65">
        <f>0.0002*2</f>
        <v>4.0000000000000002E-4</v>
      </c>
      <c r="AF63" s="51">
        <v>530</v>
      </c>
      <c r="AG63" s="11">
        <f t="shared" si="42"/>
        <v>25.786852395136673</v>
      </c>
      <c r="AH63" s="50">
        <f t="shared" si="43"/>
        <v>24.120983119442585</v>
      </c>
      <c r="AI63" s="54"/>
      <c r="AJ63" s="4"/>
      <c r="AK63" s="4"/>
      <c r="AL63" s="75"/>
      <c r="AM63" s="75"/>
      <c r="AN63" s="55"/>
      <c r="AO63" s="46">
        <v>4</v>
      </c>
      <c r="AP63" s="53">
        <v>6</v>
      </c>
      <c r="AQ63" s="71">
        <f t="shared" si="44"/>
        <v>3</v>
      </c>
      <c r="AT63" s="18">
        <f t="shared" si="45"/>
        <v>24.120983119442585</v>
      </c>
      <c r="AU63" s="18">
        <f t="shared" si="46"/>
        <v>25.786852395136673</v>
      </c>
      <c r="AV63" s="18">
        <f t="shared" si="47"/>
        <v>-1.6658692756940887</v>
      </c>
      <c r="AX63" s="18">
        <f t="shared" si="48"/>
        <v>24.686157001970791</v>
      </c>
      <c r="AY63" s="18">
        <f t="shared" si="49"/>
        <v>1.1006953931658821</v>
      </c>
      <c r="BA63" s="17">
        <f t="shared" si="50"/>
        <v>570</v>
      </c>
      <c r="BB63" s="17">
        <f t="shared" si="51"/>
        <v>1273</v>
      </c>
      <c r="BC63" s="5" t="str">
        <f t="shared" si="52"/>
        <v>30-35</v>
      </c>
      <c r="BD63" s="5" t="str">
        <f t="shared" si="53"/>
        <v>4EXP-4-6EXP-4</v>
      </c>
      <c r="BE63" s="5" t="str">
        <f t="shared" si="54"/>
        <v>300-600</v>
      </c>
      <c r="BF63" s="5" t="str">
        <f t="shared" si="55"/>
        <v>1000-1500</v>
      </c>
      <c r="BG63" s="5" t="str">
        <f t="shared" si="56"/>
        <v>NW</v>
      </c>
      <c r="BH63" s="5" t="str">
        <f t="shared" si="57"/>
        <v>60-80</v>
      </c>
      <c r="BI63" s="5" t="str">
        <f t="shared" si="58"/>
        <v>34-36</v>
      </c>
      <c r="BK63" s="5">
        <f t="shared" si="59"/>
        <v>1</v>
      </c>
      <c r="BL63" s="5">
        <f t="shared" si="60"/>
        <v>0</v>
      </c>
      <c r="BM63" s="5">
        <f t="shared" si="61"/>
        <v>0</v>
      </c>
      <c r="BN63" s="5">
        <f t="shared" si="62"/>
        <v>1</v>
      </c>
      <c r="BO63" s="5">
        <f t="shared" si="63"/>
        <v>0</v>
      </c>
      <c r="BP63" s="5">
        <f t="shared" si="64"/>
        <v>1</v>
      </c>
      <c r="BQ63" s="5">
        <f t="shared" si="65"/>
        <v>1</v>
      </c>
      <c r="BR63" s="5">
        <f t="shared" si="66"/>
        <v>0</v>
      </c>
      <c r="BS63" s="5">
        <f t="shared" si="67"/>
        <v>0</v>
      </c>
      <c r="BU63" s="18">
        <f t="shared" si="68"/>
        <v>24.898311366966173</v>
      </c>
      <c r="BV63" s="18">
        <f t="shared" si="69"/>
        <v>0.88854102817050062</v>
      </c>
      <c r="BW63" s="18">
        <f t="shared" si="70"/>
        <v>-0.74145897182949927</v>
      </c>
      <c r="BX63" s="18">
        <f t="shared" si="71"/>
        <v>2.5185410281705005</v>
      </c>
      <c r="BY63" s="5" t="str">
        <f t="shared" si="72"/>
        <v/>
      </c>
      <c r="CB63" s="18"/>
      <c r="CC63" s="18"/>
    </row>
    <row r="64" spans="1:81" s="47" customFormat="1" ht="9" customHeight="1" x14ac:dyDescent="0.15">
      <c r="A64" s="60" t="s">
        <v>99</v>
      </c>
      <c r="B64" s="44" t="s">
        <v>100</v>
      </c>
      <c r="C64" s="60" t="s">
        <v>101</v>
      </c>
      <c r="D64" s="48">
        <v>5</v>
      </c>
      <c r="E64" s="49">
        <v>50</v>
      </c>
      <c r="F64" s="8">
        <f t="shared" ref="F64:F80" si="77">IF(E64&lt;22.5,1,IF(E64&lt;67.5,2,IF(E64&lt;112.5,3,IF(E64&lt;157.5,4,IF(E64&lt;202.5,5,IF(E64&lt;247.5,6,IF(E64&lt;292.5,7,IF(E64&lt;337.5,8,"1"))))))))</f>
        <v>2</v>
      </c>
      <c r="G64" s="47">
        <v>2205</v>
      </c>
      <c r="H64" s="58">
        <v>2100</v>
      </c>
      <c r="I64" s="58">
        <v>47</v>
      </c>
      <c r="J64" s="45">
        <v>141</v>
      </c>
      <c r="K64" s="85">
        <f t="shared" si="38"/>
        <v>35.345022904343814</v>
      </c>
      <c r="L64" s="50">
        <f t="shared" si="39"/>
        <v>0.49349999999999999</v>
      </c>
      <c r="M64" s="10">
        <f t="shared" si="40"/>
        <v>1</v>
      </c>
      <c r="N64" s="4">
        <v>345</v>
      </c>
      <c r="O64" s="90">
        <f t="shared" si="41"/>
        <v>30.236634531113062</v>
      </c>
      <c r="P64" s="46">
        <v>1</v>
      </c>
      <c r="Q64" s="46">
        <v>1690</v>
      </c>
      <c r="R64" s="56">
        <v>55</v>
      </c>
      <c r="S64" s="56">
        <v>1680</v>
      </c>
      <c r="T64" s="85">
        <f>DEGREES(ATAN((Q64-S64)/R64))</f>
        <v>10.304846468766033</v>
      </c>
      <c r="U64" s="56"/>
      <c r="V64" s="56"/>
      <c r="W64" s="56"/>
      <c r="X64" s="10"/>
      <c r="Y64" s="52">
        <v>1680</v>
      </c>
      <c r="Z64" s="51">
        <v>55</v>
      </c>
      <c r="AA64" s="46"/>
      <c r="AB64" s="46"/>
      <c r="AC64" s="85">
        <v>10.304846468766033</v>
      </c>
      <c r="AD64" s="53">
        <v>1141</v>
      </c>
      <c r="AE64" s="65">
        <f>0.0002*2</f>
        <v>4.0000000000000002E-4</v>
      </c>
      <c r="AF64" s="51">
        <v>525</v>
      </c>
      <c r="AG64" s="11">
        <f t="shared" si="42"/>
        <v>24.70823233200597</v>
      </c>
      <c r="AH64" s="50">
        <f t="shared" si="43"/>
        <v>25.37111770991665</v>
      </c>
      <c r="AI64" s="72">
        <v>0</v>
      </c>
      <c r="AJ64" s="4">
        <v>142</v>
      </c>
      <c r="AK64" s="4">
        <v>306</v>
      </c>
      <c r="AL64" s="75">
        <f>(AJ64/AD64)*100</f>
        <v>12.445223488168274</v>
      </c>
      <c r="AM64" s="75">
        <f>(AK64/AD64)*100</f>
        <v>26.818580192813325</v>
      </c>
      <c r="AN64" s="57"/>
      <c r="AO64" s="46">
        <v>4</v>
      </c>
      <c r="AP64" s="53">
        <v>6</v>
      </c>
      <c r="AQ64" s="71">
        <f t="shared" si="44"/>
        <v>3</v>
      </c>
      <c r="AT64" s="18">
        <f t="shared" si="45"/>
        <v>25.37111770991665</v>
      </c>
      <c r="AU64" s="18">
        <f t="shared" si="46"/>
        <v>24.70823233200597</v>
      </c>
      <c r="AV64" s="18">
        <f t="shared" si="47"/>
        <v>0.66288537791067981</v>
      </c>
      <c r="AX64" s="18">
        <f t="shared" si="48"/>
        <v>25.604760636635824</v>
      </c>
      <c r="AY64" s="18">
        <f t="shared" si="49"/>
        <v>-0.89652830462985378</v>
      </c>
      <c r="BA64" s="17">
        <f t="shared" si="50"/>
        <v>515</v>
      </c>
      <c r="BB64" s="17">
        <f t="shared" si="51"/>
        <v>1086</v>
      </c>
      <c r="BC64" s="5" t="str">
        <f t="shared" si="52"/>
        <v>35-40</v>
      </c>
      <c r="BD64" s="5" t="str">
        <f t="shared" si="53"/>
        <v>4EXP-4-6EXP-4</v>
      </c>
      <c r="BE64" s="5" t="str">
        <f t="shared" si="54"/>
        <v>300-600</v>
      </c>
      <c r="BF64" s="5" t="str">
        <f t="shared" si="55"/>
        <v>1000-1500</v>
      </c>
      <c r="BG64" s="5" t="str">
        <f t="shared" si="56"/>
        <v>SE</v>
      </c>
      <c r="BH64" s="5" t="str">
        <f t="shared" si="57"/>
        <v>20-40</v>
      </c>
      <c r="BI64" s="5" t="str">
        <f t="shared" si="58"/>
        <v>34-36</v>
      </c>
      <c r="BK64" s="5">
        <f t="shared" si="59"/>
        <v>1</v>
      </c>
      <c r="BL64" s="5">
        <f t="shared" si="60"/>
        <v>0</v>
      </c>
      <c r="BM64" s="5">
        <f t="shared" si="61"/>
        <v>0</v>
      </c>
      <c r="BN64" s="5">
        <f t="shared" si="62"/>
        <v>1</v>
      </c>
      <c r="BO64" s="5">
        <f t="shared" si="63"/>
        <v>0</v>
      </c>
      <c r="BP64" s="5">
        <f t="shared" si="64"/>
        <v>1</v>
      </c>
      <c r="BQ64" s="5">
        <f t="shared" si="65"/>
        <v>0</v>
      </c>
      <c r="BR64" s="5">
        <f t="shared" si="66"/>
        <v>1</v>
      </c>
      <c r="BS64" s="5">
        <f t="shared" si="67"/>
        <v>0</v>
      </c>
      <c r="BU64" s="18">
        <f t="shared" si="68"/>
        <v>25.726300002348481</v>
      </c>
      <c r="BV64" s="18">
        <f t="shared" si="69"/>
        <v>-1.0180676703425107</v>
      </c>
      <c r="BW64" s="18">
        <f t="shared" si="70"/>
        <v>-2.6480676703425106</v>
      </c>
      <c r="BX64" s="18">
        <f t="shared" si="71"/>
        <v>0.61193232965748923</v>
      </c>
      <c r="BY64" s="5" t="str">
        <f t="shared" si="72"/>
        <v/>
      </c>
      <c r="CB64" s="18">
        <f>IF($BG64=CB$1,$AI64," ")</f>
        <v>0</v>
      </c>
      <c r="CC64" s="18" t="str">
        <f>IF($BG64=CC$1,$AI64," ")</f>
        <v xml:space="preserve"> </v>
      </c>
    </row>
    <row r="65" spans="1:81" s="47" customFormat="1" ht="9" customHeight="1" x14ac:dyDescent="0.15">
      <c r="A65" s="43" t="s">
        <v>102</v>
      </c>
      <c r="B65" s="44" t="s">
        <v>103</v>
      </c>
      <c r="C65" s="43" t="s">
        <v>104</v>
      </c>
      <c r="D65" s="48">
        <v>5</v>
      </c>
      <c r="E65" s="49">
        <v>35</v>
      </c>
      <c r="F65" s="8">
        <f t="shared" si="77"/>
        <v>2</v>
      </c>
      <c r="G65" s="45">
        <v>2260</v>
      </c>
      <c r="H65" s="49">
        <v>2050</v>
      </c>
      <c r="I65" s="49">
        <v>176</v>
      </c>
      <c r="J65" s="45">
        <v>123</v>
      </c>
      <c r="K65" s="85">
        <f t="shared" si="38"/>
        <v>39.111391253954345</v>
      </c>
      <c r="L65" s="50">
        <f t="shared" si="39"/>
        <v>3.6960000000000002</v>
      </c>
      <c r="M65" s="10">
        <f t="shared" si="40"/>
        <v>3</v>
      </c>
      <c r="N65" s="4">
        <v>417</v>
      </c>
      <c r="O65" s="90">
        <f t="shared" si="41"/>
        <v>30.980683506686479</v>
      </c>
      <c r="P65" s="46">
        <v>1</v>
      </c>
      <c r="Q65" s="46">
        <v>1665</v>
      </c>
      <c r="R65" s="46">
        <v>108</v>
      </c>
      <c r="S65" s="46">
        <v>1650</v>
      </c>
      <c r="T65" s="85">
        <f>DEGREES(ATAN((Q65-S65)/R65))</f>
        <v>7.9071627029584581</v>
      </c>
      <c r="U65" s="46"/>
      <c r="V65" s="46"/>
      <c r="W65" s="46"/>
      <c r="X65" s="10"/>
      <c r="Y65" s="52">
        <v>1650</v>
      </c>
      <c r="Z65" s="51">
        <v>108</v>
      </c>
      <c r="AA65" s="46"/>
      <c r="AB65" s="46"/>
      <c r="AC65" s="85">
        <v>7.9071627029584581</v>
      </c>
      <c r="AD65" s="53">
        <v>1346</v>
      </c>
      <c r="AE65" s="65">
        <f>0.0003*2</f>
        <v>5.9999999999999995E-4</v>
      </c>
      <c r="AF65" s="51">
        <v>610</v>
      </c>
      <c r="AG65" s="11">
        <f t="shared" si="42"/>
        <v>24.379779426974828</v>
      </c>
      <c r="AH65" s="50">
        <f t="shared" si="43"/>
        <v>25.669586021744468</v>
      </c>
      <c r="AI65" s="54">
        <v>2.9297</v>
      </c>
      <c r="AJ65" s="4">
        <f>340+202</f>
        <v>542</v>
      </c>
      <c r="AK65" s="4">
        <v>436</v>
      </c>
      <c r="AL65" s="75">
        <f>(AJ65/AD65)*100</f>
        <v>40.26745913818722</v>
      </c>
      <c r="AM65" s="75">
        <f>(AK65/AD65)*100</f>
        <v>32.39227340267459</v>
      </c>
      <c r="AN65" s="55"/>
      <c r="AO65" s="46">
        <v>4</v>
      </c>
      <c r="AP65" s="53">
        <v>6</v>
      </c>
      <c r="AQ65" s="71">
        <f t="shared" si="44"/>
        <v>3</v>
      </c>
      <c r="AT65" s="18">
        <f t="shared" si="45"/>
        <v>25.669586021744468</v>
      </c>
      <c r="AU65" s="18">
        <f t="shared" si="46"/>
        <v>24.379779426974828</v>
      </c>
      <c r="AV65" s="18">
        <f t="shared" si="47"/>
        <v>1.2898065947696402</v>
      </c>
      <c r="AX65" s="18">
        <f t="shared" si="48"/>
        <v>24.329581236743241</v>
      </c>
      <c r="AY65" s="18">
        <f t="shared" si="49"/>
        <v>5.0198190231586892E-2</v>
      </c>
      <c r="BA65" s="17">
        <f t="shared" si="50"/>
        <v>595</v>
      </c>
      <c r="BB65" s="17">
        <f t="shared" si="51"/>
        <v>1238</v>
      </c>
      <c r="BC65" s="5" t="str">
        <f t="shared" si="52"/>
        <v>35-40</v>
      </c>
      <c r="BD65" s="5" t="str">
        <f t="shared" si="53"/>
        <v>6EXP-4-8EXP-4</v>
      </c>
      <c r="BE65" s="5" t="str">
        <f t="shared" si="54"/>
        <v>300-600</v>
      </c>
      <c r="BF65" s="5" t="str">
        <f t="shared" si="55"/>
        <v>1000-1500</v>
      </c>
      <c r="BG65" s="5" t="str">
        <f t="shared" si="56"/>
        <v>NW</v>
      </c>
      <c r="BH65" s="5" t="str">
        <f t="shared" si="57"/>
        <v>20-40</v>
      </c>
      <c r="BI65" s="5" t="str">
        <f t="shared" si="58"/>
        <v>38-40</v>
      </c>
      <c r="BK65" s="5">
        <f t="shared" si="59"/>
        <v>1</v>
      </c>
      <c r="BL65" s="5">
        <f t="shared" si="60"/>
        <v>1</v>
      </c>
      <c r="BM65" s="5">
        <f t="shared" si="61"/>
        <v>0</v>
      </c>
      <c r="BN65" s="5">
        <f t="shared" si="62"/>
        <v>1</v>
      </c>
      <c r="BO65" s="5">
        <f t="shared" si="63"/>
        <v>0</v>
      </c>
      <c r="BP65" s="5">
        <f t="shared" si="64"/>
        <v>0</v>
      </c>
      <c r="BQ65" s="5">
        <f t="shared" si="65"/>
        <v>1</v>
      </c>
      <c r="BR65" s="5">
        <f t="shared" si="66"/>
        <v>1</v>
      </c>
      <c r="BS65" s="5">
        <f t="shared" si="67"/>
        <v>0</v>
      </c>
      <c r="BU65" s="18">
        <f t="shared" si="68"/>
        <v>23.473986496414597</v>
      </c>
      <c r="BV65" s="18">
        <f t="shared" si="69"/>
        <v>0.90579293056023147</v>
      </c>
      <c r="BW65" s="18">
        <f t="shared" si="70"/>
        <v>-0.72420706943976842</v>
      </c>
      <c r="BX65" s="18">
        <f t="shared" si="71"/>
        <v>2.5357929305602314</v>
      </c>
      <c r="BY65" s="5" t="str">
        <f t="shared" si="72"/>
        <v/>
      </c>
      <c r="CB65" s="18" t="str">
        <f>IF($BG65=CB$1,$AI65," ")</f>
        <v xml:space="preserve"> </v>
      </c>
      <c r="CC65" s="18">
        <f>IF($BG65=CC$1,$AI65," ")</f>
        <v>2.9297</v>
      </c>
    </row>
    <row r="66" spans="1:81" s="47" customFormat="1" ht="9" customHeight="1" x14ac:dyDescent="0.15">
      <c r="A66" s="43" t="s">
        <v>105</v>
      </c>
      <c r="B66" s="44" t="s">
        <v>106</v>
      </c>
      <c r="C66" s="43" t="s">
        <v>107</v>
      </c>
      <c r="D66" s="48">
        <v>5</v>
      </c>
      <c r="E66" s="49">
        <v>2</v>
      </c>
      <c r="F66" s="8">
        <f t="shared" si="77"/>
        <v>1</v>
      </c>
      <c r="G66" s="45">
        <v>2475</v>
      </c>
      <c r="H66" s="49">
        <v>2350</v>
      </c>
      <c r="I66" s="49">
        <v>447</v>
      </c>
      <c r="J66" s="45">
        <v>116</v>
      </c>
      <c r="K66" s="85">
        <f t="shared" ref="K66:K97" si="78">DEGREES(ATAN((100)/J66))</f>
        <v>40.763605200941164</v>
      </c>
      <c r="L66" s="11">
        <f t="shared" ref="L66:L98" si="79">((G66-H66)*I66)/10000</f>
        <v>5.5875000000000004</v>
      </c>
      <c r="M66" s="10">
        <f t="shared" ref="M66:M97" si="80">IF((L66*10000)&lt;5000,1,IF((L66*10000)&lt;25000,2,IF((L66*10000)&lt;60000,3,4)))</f>
        <v>3</v>
      </c>
      <c r="N66" s="4">
        <v>253</v>
      </c>
      <c r="O66" s="90">
        <f t="shared" ref="O66:O97" si="81">(N66/AD66)*100</f>
        <v>18.453683442742523</v>
      </c>
      <c r="P66" s="46">
        <v>1</v>
      </c>
      <c r="Q66" s="46">
        <v>1895</v>
      </c>
      <c r="R66" s="46">
        <v>364</v>
      </c>
      <c r="S66" s="46">
        <v>1865</v>
      </c>
      <c r="T66" s="85">
        <f>DEGREES(ATAN((Q66-S66)/R66))</f>
        <v>4.7115309461015578</v>
      </c>
      <c r="U66" s="46"/>
      <c r="V66" s="46"/>
      <c r="W66" s="46"/>
      <c r="X66" s="10"/>
      <c r="Y66" s="52">
        <v>1865</v>
      </c>
      <c r="Z66" s="51">
        <v>364</v>
      </c>
      <c r="AA66" s="46"/>
      <c r="AB66" s="46"/>
      <c r="AC66" s="85">
        <v>4.7115309461015578</v>
      </c>
      <c r="AD66" s="53">
        <v>1371</v>
      </c>
      <c r="AE66" s="65">
        <f>0.0003*2</f>
        <v>5.9999999999999995E-4</v>
      </c>
      <c r="AF66" s="51">
        <v>610</v>
      </c>
      <c r="AG66" s="11">
        <f t="shared" ref="AG66:AG97" si="82">DEGREES(ATAN((AF66)/AD66))</f>
        <v>23.985749997529087</v>
      </c>
      <c r="AH66" s="50">
        <f t="shared" ref="AH66:AH98" si="83">DEGREES(ATAN((G66-Q66)/(AD66-Z66)))</f>
        <v>29.940575374738568</v>
      </c>
      <c r="AI66" s="54"/>
      <c r="AJ66" s="4"/>
      <c r="AK66" s="4"/>
      <c r="AL66" s="75"/>
      <c r="AM66" s="75"/>
      <c r="AN66" s="55"/>
      <c r="AO66" s="46">
        <v>4</v>
      </c>
      <c r="AP66" s="53">
        <v>6</v>
      </c>
      <c r="AQ66" s="71">
        <f t="shared" ref="AQ66:AQ97" si="84">IF(AP66=1,1,IF(AP66=2,1,IF(AP66=3,2,IF(AP66=4,2,IF(AP66=5,2,3)))))</f>
        <v>3</v>
      </c>
      <c r="AT66" s="18">
        <f t="shared" ref="AT66:AT98" si="85">AH66</f>
        <v>29.940575374738568</v>
      </c>
      <c r="AU66" s="18">
        <f t="shared" ref="AU66:AU98" si="86">AG66</f>
        <v>23.985749997529087</v>
      </c>
      <c r="AV66" s="18">
        <f t="shared" ref="AV66:AV97" si="87">AT66-AU66</f>
        <v>5.954825377209481</v>
      </c>
      <c r="AX66" s="18">
        <f t="shared" ref="AX66:AX98" si="88">(0.77*AT66)-(0.001*AD66)-(0.65*M66)+7.86</f>
        <v>27.5932430385487</v>
      </c>
      <c r="AY66" s="18">
        <f t="shared" ref="AY66:AY97" si="89">AU66-AX66</f>
        <v>-3.6074930410196124</v>
      </c>
      <c r="BA66" s="17">
        <f t="shared" ref="BA66:BA98" si="90">G66-Q66</f>
        <v>580</v>
      </c>
      <c r="BB66" s="17">
        <f t="shared" ref="BB66:BB98" si="91">AD66-Z66</f>
        <v>1007</v>
      </c>
      <c r="BC66" s="5" t="str">
        <f t="shared" ref="BC66:BC98" si="92">IF(K66&lt;30,"25-30",IF(K66&lt;35,"30-35",IF(K66&lt;40,"35-40","40-45")))</f>
        <v>40-45</v>
      </c>
      <c r="BD66" s="5" t="str">
        <f t="shared" ref="BD66:BD98" si="93">IF(AE66&lt;0.0002,"&lt;2EXP-4",IF(AE66&lt;0.0004,"2EXP-4-4EXP-4",IF(AE66&lt;0.0006,"4EXP-4-6EXP-4","6EXP-4-8EXP-4")))</f>
        <v>6EXP-4-8EXP-4</v>
      </c>
      <c r="BE66" s="5" t="str">
        <f t="shared" ref="BE66:BE98" si="94">IF(BA66&lt;600,"300-600",IF(AF66&lt;900,"600-900",IF(AF66&lt;1200,"900-1200","1200-1500")))</f>
        <v>300-600</v>
      </c>
      <c r="BF66" s="5" t="str">
        <f t="shared" ref="BF66:BF98" si="95">IF(BB66&lt;1000,"500-1000",IF(AD66&lt;1500,"1000-1500",IF(AD66&lt;2000,"1500-2000",IF(AD66&lt;2500,"2000-2500","&gt;2500"))))</f>
        <v>1000-1500</v>
      </c>
      <c r="BG66" s="5" t="str">
        <f t="shared" ref="BG66:BG98" si="96">IF(E66&lt;45,"NW",IF(E66&lt;225,"SE","NW"))</f>
        <v>NW</v>
      </c>
      <c r="BH66" s="5" t="str">
        <f t="shared" ref="BH66:BH98" si="97">IF(O66&lt;20,"0-20",IF(O66&lt;40,"20-40",IF(O66&lt;60,"40-60",IF(O66&lt;80,"60-80","80-100"))))</f>
        <v>0-20</v>
      </c>
      <c r="BI66" s="5" t="str">
        <f t="shared" ref="BI66:BI98" si="98">IF(K66&lt;30,"25-30",IF(K66&lt;33,"30-32",IF(K66&lt;34,"32-34",IF(K66&lt;36,"34-36",IF(K66&lt;38,"36-38",IF(K66&lt;40,"38-40",IF(K66&lt;42,"40-42","&gt;42")))))))</f>
        <v>40-42</v>
      </c>
      <c r="BK66" s="5">
        <f t="shared" ref="BK66:BK98" si="99">IF(K66&lt;30.1,0,1)</f>
        <v>1</v>
      </c>
      <c r="BL66" s="5">
        <f t="shared" ref="BL66:BL98" si="100">IF(AE66&lt;0.0006,0,1)</f>
        <v>1</v>
      </c>
      <c r="BM66" s="5">
        <f t="shared" ref="BM66:BM98" si="101">IF(BA66&lt;601,0,1)</f>
        <v>0</v>
      </c>
      <c r="BN66" s="5">
        <f t="shared" ref="BN66:BN98" si="102">IF(BB66&lt;2501,1,0)</f>
        <v>1</v>
      </c>
      <c r="BO66" s="5">
        <f t="shared" ref="BO66:BO98" si="103">IF(P66=1,0,IF(P66=4,0,1))</f>
        <v>0</v>
      </c>
      <c r="BP66" s="5">
        <f t="shared" ref="BP66:BP98" si="104">IF(M66&lt;2.5,1,0)</f>
        <v>0</v>
      </c>
      <c r="BQ66" s="5">
        <f t="shared" ref="BQ66:BQ98" si="105">IF(E66&lt;45,1,IF(E66&lt;225,0,1))</f>
        <v>1</v>
      </c>
      <c r="BR66" s="5">
        <f t="shared" ref="BR66:BR98" si="106">IF(O66&lt;60,1,0)</f>
        <v>1</v>
      </c>
      <c r="BS66" s="5">
        <f t="shared" ref="BS66:BS98" si="107">IF(AQ66=2,1,0)</f>
        <v>0</v>
      </c>
      <c r="BU66" s="18">
        <f t="shared" ref="BU66:BU98" si="108">0.614+(0.91*(AT66))+(0.001*(BB66))-((LN(L66))*1.329)</f>
        <v>26.580336616252254</v>
      </c>
      <c r="BV66" s="18">
        <f t="shared" ref="BV66:BV97" si="109">AU66-BU66</f>
        <v>-2.5945866187231665</v>
      </c>
      <c r="BW66" s="18">
        <f t="shared" ref="BW66:BW97" si="110">BV66-1.63</f>
        <v>-4.2245866187231664</v>
      </c>
      <c r="BX66" s="18">
        <f t="shared" ref="BX66:BX98" si="111">BV66+1.63</f>
        <v>-0.96458661872316664</v>
      </c>
      <c r="BY66" s="5">
        <f t="shared" ref="BY66:BY97" si="112">IF(BW66&gt;0,1,IF(BX66&lt;0,0,""))</f>
        <v>0</v>
      </c>
      <c r="CB66" s="18" t="str">
        <f t="shared" ref="CB66:CB74" si="113">IF($BG66=CB$1,$AI66," ")</f>
        <v xml:space="preserve"> </v>
      </c>
      <c r="CC66" s="18"/>
    </row>
    <row r="67" spans="1:81" s="47" customFormat="1" ht="9" customHeight="1" x14ac:dyDescent="0.15">
      <c r="A67" s="43" t="s">
        <v>108</v>
      </c>
      <c r="B67" s="44" t="s">
        <v>109</v>
      </c>
      <c r="C67" s="43" t="s">
        <v>110</v>
      </c>
      <c r="D67" s="48">
        <v>5</v>
      </c>
      <c r="E67" s="49">
        <v>290</v>
      </c>
      <c r="F67" s="8">
        <f t="shared" si="77"/>
        <v>7</v>
      </c>
      <c r="G67" s="45">
        <v>2500</v>
      </c>
      <c r="H67" s="49">
        <v>2400</v>
      </c>
      <c r="I67" s="49">
        <v>66</v>
      </c>
      <c r="J67" s="45">
        <v>154</v>
      </c>
      <c r="K67" s="85">
        <f t="shared" si="78"/>
        <v>32.99770510121629</v>
      </c>
      <c r="L67" s="50">
        <f t="shared" si="79"/>
        <v>0.66</v>
      </c>
      <c r="M67" s="10">
        <f t="shared" si="80"/>
        <v>2</v>
      </c>
      <c r="N67" s="4">
        <v>994</v>
      </c>
      <c r="O67" s="90">
        <f t="shared" si="81"/>
        <v>56.509380329732807</v>
      </c>
      <c r="P67" s="46">
        <v>1</v>
      </c>
      <c r="Q67" s="46">
        <v>1430</v>
      </c>
      <c r="R67" s="46"/>
      <c r="S67" s="46">
        <v>1560</v>
      </c>
      <c r="T67" s="85"/>
      <c r="U67" s="46">
        <v>493</v>
      </c>
      <c r="V67" s="46"/>
      <c r="W67" s="46"/>
      <c r="X67" s="10"/>
      <c r="Y67" s="52">
        <v>1560</v>
      </c>
      <c r="Z67" s="51">
        <f>-U67</f>
        <v>-493</v>
      </c>
      <c r="AA67" s="46">
        <v>140</v>
      </c>
      <c r="AB67" s="46">
        <v>40</v>
      </c>
      <c r="AC67" s="85">
        <v>15.945395900922854</v>
      </c>
      <c r="AD67" s="53">
        <v>1759</v>
      </c>
      <c r="AE67" s="65">
        <f>0.0001*2</f>
        <v>2.0000000000000001E-4</v>
      </c>
      <c r="AF67" s="51">
        <v>940</v>
      </c>
      <c r="AG67" s="11">
        <f t="shared" si="82"/>
        <v>28.119803893872611</v>
      </c>
      <c r="AH67" s="50">
        <f t="shared" si="83"/>
        <v>25.413945346983521</v>
      </c>
      <c r="AI67" s="54"/>
      <c r="AJ67" s="4"/>
      <c r="AK67" s="4"/>
      <c r="AL67" s="75"/>
      <c r="AM67" s="75"/>
      <c r="AN67" s="55"/>
      <c r="AO67" s="46">
        <v>4</v>
      </c>
      <c r="AP67" s="53">
        <v>6</v>
      </c>
      <c r="AQ67" s="71">
        <f t="shared" si="84"/>
        <v>3</v>
      </c>
      <c r="AT67" s="18">
        <f t="shared" si="85"/>
        <v>25.413945346983521</v>
      </c>
      <c r="AU67" s="18">
        <f t="shared" si="86"/>
        <v>28.119803893872611</v>
      </c>
      <c r="AV67" s="18">
        <f t="shared" si="87"/>
        <v>-2.7058585468890897</v>
      </c>
      <c r="AX67" s="18">
        <f t="shared" si="88"/>
        <v>24.369737917177311</v>
      </c>
      <c r="AY67" s="18">
        <f t="shared" si="89"/>
        <v>3.7500659766953</v>
      </c>
      <c r="BA67" s="17">
        <f t="shared" si="90"/>
        <v>1070</v>
      </c>
      <c r="BB67" s="17">
        <f t="shared" si="91"/>
        <v>2252</v>
      </c>
      <c r="BC67" s="5" t="str">
        <f t="shared" si="92"/>
        <v>30-35</v>
      </c>
      <c r="BD67" s="5" t="str">
        <f t="shared" si="93"/>
        <v>2EXP-4-4EXP-4</v>
      </c>
      <c r="BE67" s="5" t="str">
        <f t="shared" si="94"/>
        <v>900-1200</v>
      </c>
      <c r="BF67" s="5" t="str">
        <f t="shared" si="95"/>
        <v>1500-2000</v>
      </c>
      <c r="BG67" s="5" t="str">
        <f t="shared" si="96"/>
        <v>NW</v>
      </c>
      <c r="BH67" s="5" t="str">
        <f t="shared" si="97"/>
        <v>40-60</v>
      </c>
      <c r="BI67" s="5" t="str">
        <f t="shared" si="98"/>
        <v>30-32</v>
      </c>
      <c r="BK67" s="5">
        <f t="shared" si="99"/>
        <v>1</v>
      </c>
      <c r="BL67" s="5">
        <f t="shared" si="100"/>
        <v>0</v>
      </c>
      <c r="BM67" s="5">
        <f t="shared" si="101"/>
        <v>1</v>
      </c>
      <c r="BN67" s="5">
        <f t="shared" si="102"/>
        <v>1</v>
      </c>
      <c r="BO67" s="5">
        <f t="shared" si="103"/>
        <v>0</v>
      </c>
      <c r="BP67" s="5">
        <f t="shared" si="104"/>
        <v>1</v>
      </c>
      <c r="BQ67" s="5">
        <f t="shared" si="105"/>
        <v>1</v>
      </c>
      <c r="BR67" s="5">
        <f t="shared" si="106"/>
        <v>1</v>
      </c>
      <c r="BS67" s="5">
        <f t="shared" si="107"/>
        <v>0</v>
      </c>
      <c r="BU67" s="18">
        <f t="shared" si="108"/>
        <v>26.544910290780059</v>
      </c>
      <c r="BV67" s="18">
        <f t="shared" si="109"/>
        <v>1.5748936030925513</v>
      </c>
      <c r="BW67" s="18">
        <f t="shared" si="110"/>
        <v>-5.5106396907448563E-2</v>
      </c>
      <c r="BX67" s="18">
        <f t="shared" si="111"/>
        <v>3.2048936030925512</v>
      </c>
      <c r="BY67" s="5" t="str">
        <f t="shared" si="112"/>
        <v/>
      </c>
      <c r="CB67" s="18" t="str">
        <f t="shared" si="113"/>
        <v xml:space="preserve"> </v>
      </c>
      <c r="CC67" s="18"/>
    </row>
    <row r="68" spans="1:81" s="47" customFormat="1" ht="9" customHeight="1" x14ac:dyDescent="0.15">
      <c r="A68" s="69" t="s">
        <v>199</v>
      </c>
      <c r="B68" s="44" t="str">
        <f>MID(A68,1,6)</f>
        <v>SGR647</v>
      </c>
      <c r="C68" s="43" t="s">
        <v>200</v>
      </c>
      <c r="D68" s="48">
        <v>5</v>
      </c>
      <c r="E68" s="49">
        <v>320</v>
      </c>
      <c r="F68" s="8">
        <f t="shared" si="77"/>
        <v>8</v>
      </c>
      <c r="G68" s="45">
        <v>2320</v>
      </c>
      <c r="H68" s="49">
        <v>2275</v>
      </c>
      <c r="I68" s="45">
        <v>129</v>
      </c>
      <c r="J68" s="45">
        <v>129</v>
      </c>
      <c r="K68" s="85">
        <f t="shared" si="78"/>
        <v>37.782620840970786</v>
      </c>
      <c r="L68" s="11">
        <f t="shared" si="79"/>
        <v>0.58050000000000002</v>
      </c>
      <c r="M68" s="10">
        <f t="shared" si="80"/>
        <v>2</v>
      </c>
      <c r="N68" s="4">
        <v>0</v>
      </c>
      <c r="O68" s="90">
        <f t="shared" si="81"/>
        <v>0</v>
      </c>
      <c r="P68" s="46">
        <v>1</v>
      </c>
      <c r="Q68" s="46">
        <v>1965</v>
      </c>
      <c r="R68" s="59"/>
      <c r="S68" s="46">
        <v>2020</v>
      </c>
      <c r="T68" s="85"/>
      <c r="U68" s="46">
        <v>187</v>
      </c>
      <c r="V68" s="59"/>
      <c r="W68" s="59"/>
      <c r="X68" s="10"/>
      <c r="Y68" s="52">
        <f>S68</f>
        <v>2020</v>
      </c>
      <c r="Z68" s="51">
        <f>R68+V68-U68</f>
        <v>-187</v>
      </c>
      <c r="AA68" s="46">
        <v>44</v>
      </c>
      <c r="AB68" s="46">
        <v>20</v>
      </c>
      <c r="AC68" s="85">
        <f>DEGREES(ATAN((AB68)/AA68))</f>
        <v>24.443954780416536</v>
      </c>
      <c r="AD68" s="53">
        <v>541</v>
      </c>
      <c r="AE68" s="65">
        <f>0.0003*2</f>
        <v>5.9999999999999995E-4</v>
      </c>
      <c r="AF68" s="51">
        <f>G68-S68</f>
        <v>300</v>
      </c>
      <c r="AG68" s="11">
        <f t="shared" si="82"/>
        <v>29.009623907726482</v>
      </c>
      <c r="AH68" s="50">
        <f t="shared" si="83"/>
        <v>25.99559227474267</v>
      </c>
      <c r="AI68" s="54">
        <v>1.0245</v>
      </c>
      <c r="AJ68" s="4">
        <v>232</v>
      </c>
      <c r="AK68" s="4">
        <v>276</v>
      </c>
      <c r="AL68" s="75">
        <f>(AJ68/AD68)*100</f>
        <v>42.883548983364136</v>
      </c>
      <c r="AM68" s="75">
        <f>(AK68/AD68)*100</f>
        <v>51.016635859519411</v>
      </c>
      <c r="AN68" s="55"/>
      <c r="AO68" s="46">
        <v>4</v>
      </c>
      <c r="AP68" s="53">
        <v>6</v>
      </c>
      <c r="AQ68" s="71">
        <f t="shared" si="84"/>
        <v>3</v>
      </c>
      <c r="AT68" s="18">
        <f t="shared" si="85"/>
        <v>25.99559227474267</v>
      </c>
      <c r="AU68" s="18">
        <f t="shared" si="86"/>
        <v>29.009623907726482</v>
      </c>
      <c r="AV68" s="18">
        <f t="shared" si="87"/>
        <v>-3.0140316329838122</v>
      </c>
      <c r="AX68" s="18">
        <f t="shared" si="88"/>
        <v>26.035606051551856</v>
      </c>
      <c r="AY68" s="18">
        <f t="shared" si="89"/>
        <v>2.9740178561746262</v>
      </c>
      <c r="BA68" s="17">
        <f t="shared" si="90"/>
        <v>355</v>
      </c>
      <c r="BB68" s="17">
        <f t="shared" si="91"/>
        <v>728</v>
      </c>
      <c r="BC68" s="5" t="str">
        <f t="shared" si="92"/>
        <v>35-40</v>
      </c>
      <c r="BD68" s="5" t="str">
        <f t="shared" si="93"/>
        <v>6EXP-4-8EXP-4</v>
      </c>
      <c r="BE68" s="5" t="str">
        <f t="shared" si="94"/>
        <v>300-600</v>
      </c>
      <c r="BF68" s="5" t="str">
        <f t="shared" si="95"/>
        <v>500-1000</v>
      </c>
      <c r="BG68" s="5" t="str">
        <f t="shared" si="96"/>
        <v>NW</v>
      </c>
      <c r="BH68" s="5" t="str">
        <f t="shared" si="97"/>
        <v>0-20</v>
      </c>
      <c r="BI68" s="5" t="str">
        <f t="shared" si="98"/>
        <v>36-38</v>
      </c>
      <c r="BK68" s="5">
        <f t="shared" si="99"/>
        <v>1</v>
      </c>
      <c r="BL68" s="5">
        <f t="shared" si="100"/>
        <v>1</v>
      </c>
      <c r="BM68" s="5">
        <f t="shared" si="101"/>
        <v>0</v>
      </c>
      <c r="BN68" s="5">
        <f t="shared" si="102"/>
        <v>1</v>
      </c>
      <c r="BO68" s="5">
        <f t="shared" si="103"/>
        <v>0</v>
      </c>
      <c r="BP68" s="5">
        <f t="shared" si="104"/>
        <v>1</v>
      </c>
      <c r="BQ68" s="5">
        <f t="shared" si="105"/>
        <v>1</v>
      </c>
      <c r="BR68" s="5">
        <f t="shared" si="106"/>
        <v>1</v>
      </c>
      <c r="BS68" s="5">
        <f t="shared" si="107"/>
        <v>0</v>
      </c>
      <c r="BU68" s="18">
        <f t="shared" si="108"/>
        <v>25.720786190070761</v>
      </c>
      <c r="BV68" s="18">
        <f t="shared" si="109"/>
        <v>3.2888377176557206</v>
      </c>
      <c r="BW68" s="18">
        <f t="shared" si="110"/>
        <v>1.6588377176557207</v>
      </c>
      <c r="BX68" s="18">
        <f t="shared" si="111"/>
        <v>4.9188377176557205</v>
      </c>
      <c r="BY68" s="5">
        <f t="shared" si="112"/>
        <v>1</v>
      </c>
      <c r="CB68" s="18" t="str">
        <f t="shared" si="113"/>
        <v xml:space="preserve"> </v>
      </c>
      <c r="CC68" s="18">
        <f>IF($BG68=CC$1,$AI68," ")</f>
        <v>1.0245</v>
      </c>
    </row>
    <row r="69" spans="1:81" s="47" customFormat="1" ht="9" customHeight="1" x14ac:dyDescent="0.15">
      <c r="A69" s="69" t="s">
        <v>201</v>
      </c>
      <c r="B69" s="44" t="str">
        <f>MID(A69,1,6)</f>
        <v>SMG048</v>
      </c>
      <c r="C69" s="43" t="s">
        <v>202</v>
      </c>
      <c r="D69" s="48">
        <v>5</v>
      </c>
      <c r="E69" s="49">
        <v>230</v>
      </c>
      <c r="F69" s="8">
        <f t="shared" si="77"/>
        <v>6</v>
      </c>
      <c r="G69" s="45">
        <v>2305</v>
      </c>
      <c r="H69" s="49">
        <v>2150</v>
      </c>
      <c r="I69" s="45">
        <v>111</v>
      </c>
      <c r="J69" s="45">
        <v>150</v>
      </c>
      <c r="K69" s="85">
        <f t="shared" si="78"/>
        <v>33.690067525979785</v>
      </c>
      <c r="L69" s="11">
        <f t="shared" si="79"/>
        <v>1.7204999999999999</v>
      </c>
      <c r="M69" s="10">
        <f t="shared" si="80"/>
        <v>2</v>
      </c>
      <c r="N69" s="4">
        <v>546</v>
      </c>
      <c r="O69" s="90">
        <f t="shared" si="81"/>
        <v>64.845605700712596</v>
      </c>
      <c r="P69" s="46">
        <v>1</v>
      </c>
      <c r="Q69" s="46">
        <v>1780</v>
      </c>
      <c r="R69" s="46"/>
      <c r="S69" s="46">
        <v>1855</v>
      </c>
      <c r="T69" s="85"/>
      <c r="U69" s="46">
        <v>285</v>
      </c>
      <c r="V69" s="46"/>
      <c r="W69" s="46"/>
      <c r="X69" s="10"/>
      <c r="Y69" s="52">
        <f>S69</f>
        <v>1855</v>
      </c>
      <c r="Z69" s="51">
        <f>R69+V69-U69</f>
        <v>-285</v>
      </c>
      <c r="AA69" s="46">
        <v>85</v>
      </c>
      <c r="AB69" s="46">
        <v>20</v>
      </c>
      <c r="AC69" s="85">
        <f>DEGREES(ATAN((AB69)/AA69))</f>
        <v>13.240519915187205</v>
      </c>
      <c r="AD69" s="53">
        <v>842</v>
      </c>
      <c r="AE69" s="65">
        <f>0.0002*2</f>
        <v>4.0000000000000002E-4</v>
      </c>
      <c r="AF69" s="51">
        <f>G69-S69</f>
        <v>450</v>
      </c>
      <c r="AG69" s="11">
        <f t="shared" si="82"/>
        <v>28.121910270063136</v>
      </c>
      <c r="AH69" s="50">
        <f t="shared" si="83"/>
        <v>24.977916763355243</v>
      </c>
      <c r="AI69" s="54">
        <v>0.32200000000000001</v>
      </c>
      <c r="AJ69" s="4">
        <v>130</v>
      </c>
      <c r="AK69" s="4">
        <v>541</v>
      </c>
      <c r="AL69" s="75">
        <f>(AJ69/AD69)*100</f>
        <v>15.439429928741092</v>
      </c>
      <c r="AM69" s="75">
        <f>(AK69/AD69)*100</f>
        <v>64.251781472684087</v>
      </c>
      <c r="AN69" s="55"/>
      <c r="AO69" s="46">
        <v>4</v>
      </c>
      <c r="AP69" s="53">
        <v>4</v>
      </c>
      <c r="AQ69" s="71">
        <f t="shared" si="84"/>
        <v>2</v>
      </c>
      <c r="AT69" s="18">
        <f t="shared" si="85"/>
        <v>24.977916763355243</v>
      </c>
      <c r="AU69" s="18">
        <f t="shared" si="86"/>
        <v>28.121910270063136</v>
      </c>
      <c r="AV69" s="18">
        <f t="shared" si="87"/>
        <v>-3.1439935067078935</v>
      </c>
      <c r="AX69" s="18">
        <f t="shared" si="88"/>
        <v>24.950995907783536</v>
      </c>
      <c r="AY69" s="18">
        <f t="shared" si="89"/>
        <v>3.1709143622795999</v>
      </c>
      <c r="BA69" s="17">
        <f t="shared" si="90"/>
        <v>525</v>
      </c>
      <c r="BB69" s="17">
        <f t="shared" si="91"/>
        <v>1127</v>
      </c>
      <c r="BC69" s="5" t="str">
        <f t="shared" si="92"/>
        <v>30-35</v>
      </c>
      <c r="BD69" s="5" t="str">
        <f t="shared" si="93"/>
        <v>4EXP-4-6EXP-4</v>
      </c>
      <c r="BE69" s="5" t="str">
        <f t="shared" si="94"/>
        <v>300-600</v>
      </c>
      <c r="BF69" s="5" t="str">
        <f t="shared" si="95"/>
        <v>1000-1500</v>
      </c>
      <c r="BG69" s="5" t="str">
        <f t="shared" si="96"/>
        <v>NW</v>
      </c>
      <c r="BH69" s="5" t="str">
        <f t="shared" si="97"/>
        <v>60-80</v>
      </c>
      <c r="BI69" s="5" t="str">
        <f t="shared" si="98"/>
        <v>32-34</v>
      </c>
      <c r="BK69" s="5">
        <f t="shared" si="99"/>
        <v>1</v>
      </c>
      <c r="BL69" s="5">
        <f t="shared" si="100"/>
        <v>0</v>
      </c>
      <c r="BM69" s="5">
        <f t="shared" si="101"/>
        <v>0</v>
      </c>
      <c r="BN69" s="5">
        <f t="shared" si="102"/>
        <v>1</v>
      </c>
      <c r="BO69" s="5">
        <f t="shared" si="103"/>
        <v>0</v>
      </c>
      <c r="BP69" s="5">
        <f t="shared" si="104"/>
        <v>1</v>
      </c>
      <c r="BQ69" s="5">
        <f t="shared" si="105"/>
        <v>1</v>
      </c>
      <c r="BR69" s="5">
        <f t="shared" si="106"/>
        <v>0</v>
      </c>
      <c r="BS69" s="5">
        <f t="shared" si="107"/>
        <v>1</v>
      </c>
      <c r="BU69" s="18">
        <f t="shared" si="108"/>
        <v>23.749768991079847</v>
      </c>
      <c r="BV69" s="18">
        <f t="shared" si="109"/>
        <v>4.372141278983289</v>
      </c>
      <c r="BW69" s="18">
        <f t="shared" si="110"/>
        <v>2.7421412789832891</v>
      </c>
      <c r="BX69" s="18">
        <f t="shared" si="111"/>
        <v>6.0021412789832889</v>
      </c>
      <c r="BY69" s="5">
        <f t="shared" si="112"/>
        <v>1</v>
      </c>
      <c r="CB69" s="18" t="str">
        <f t="shared" si="113"/>
        <v xml:space="preserve"> </v>
      </c>
      <c r="CC69" s="18">
        <f>IF($BG69=CC$1,$AI69," ")</f>
        <v>0.32200000000000001</v>
      </c>
    </row>
    <row r="70" spans="1:81" s="47" customFormat="1" ht="9" customHeight="1" x14ac:dyDescent="0.15">
      <c r="A70" s="77" t="s">
        <v>269</v>
      </c>
      <c r="B70" s="2" t="str">
        <f>MID(A70,1,6)</f>
        <v>SMG113</v>
      </c>
      <c r="C70" s="1" t="s">
        <v>270</v>
      </c>
      <c r="D70" s="6">
        <v>5</v>
      </c>
      <c r="E70" s="7">
        <v>184</v>
      </c>
      <c r="F70" s="8">
        <f t="shared" si="77"/>
        <v>5</v>
      </c>
      <c r="G70" s="3">
        <v>2295</v>
      </c>
      <c r="H70" s="7">
        <v>2175</v>
      </c>
      <c r="I70" s="3">
        <v>67</v>
      </c>
      <c r="J70" s="45">
        <v>151</v>
      </c>
      <c r="K70" s="85">
        <f t="shared" si="78"/>
        <v>33.514583298241398</v>
      </c>
      <c r="L70" s="11">
        <f t="shared" si="79"/>
        <v>0.80400000000000005</v>
      </c>
      <c r="M70" s="10">
        <f t="shared" si="80"/>
        <v>2</v>
      </c>
      <c r="N70" s="4">
        <v>322</v>
      </c>
      <c r="O70" s="90">
        <f t="shared" si="81"/>
        <v>42.312746386333771</v>
      </c>
      <c r="P70" s="4">
        <v>1</v>
      </c>
      <c r="Q70" s="4">
        <v>1630</v>
      </c>
      <c r="R70" s="4"/>
      <c r="S70" s="4">
        <v>1835</v>
      </c>
      <c r="T70" s="85"/>
      <c r="U70" s="4">
        <v>535</v>
      </c>
      <c r="V70" s="4"/>
      <c r="W70" s="4"/>
      <c r="X70" s="10"/>
      <c r="Y70" s="14">
        <f>S70</f>
        <v>1835</v>
      </c>
      <c r="Z70" s="12">
        <f>R70+V70-U70</f>
        <v>-535</v>
      </c>
      <c r="AA70" s="4">
        <v>153</v>
      </c>
      <c r="AB70" s="4">
        <v>65</v>
      </c>
      <c r="AC70" s="85">
        <f>DEGREES(ATAN((AB70)/AA70))</f>
        <v>23.017561796881363</v>
      </c>
      <c r="AD70" s="13">
        <v>761</v>
      </c>
      <c r="AE70" s="3">
        <f>2*(POWER(10,-4))*2</f>
        <v>4.0000000000000002E-4</v>
      </c>
      <c r="AF70" s="12">
        <f>G70-S70</f>
        <v>460</v>
      </c>
      <c r="AG70" s="11">
        <f t="shared" si="82"/>
        <v>31.151610873740342</v>
      </c>
      <c r="AH70" s="50">
        <f t="shared" si="83"/>
        <v>27.16314320829132</v>
      </c>
      <c r="AI70" s="54">
        <v>1.71</v>
      </c>
      <c r="AJ70" s="4">
        <v>240</v>
      </c>
      <c r="AK70" s="4">
        <v>416</v>
      </c>
      <c r="AL70" s="75">
        <f>(AJ70/AD70)*100</f>
        <v>31.537450722733247</v>
      </c>
      <c r="AM70" s="75">
        <f>(AK70/AD70)*100</f>
        <v>54.664914586070957</v>
      </c>
      <c r="AN70" s="57"/>
      <c r="AO70" s="46"/>
      <c r="AP70" s="53">
        <v>4</v>
      </c>
      <c r="AQ70" s="71">
        <f t="shared" si="84"/>
        <v>2</v>
      </c>
      <c r="AT70" s="18">
        <f t="shared" si="85"/>
        <v>27.16314320829132</v>
      </c>
      <c r="AU70" s="18">
        <f t="shared" si="86"/>
        <v>31.151610873740342</v>
      </c>
      <c r="AV70" s="18">
        <f t="shared" si="87"/>
        <v>-3.9884676654490221</v>
      </c>
      <c r="AX70" s="18">
        <f t="shared" si="88"/>
        <v>26.714620270384316</v>
      </c>
      <c r="AY70" s="18">
        <f t="shared" si="89"/>
        <v>4.4369906033560262</v>
      </c>
      <c r="BA70" s="17">
        <f t="shared" si="90"/>
        <v>665</v>
      </c>
      <c r="BB70" s="17">
        <f t="shared" si="91"/>
        <v>1296</v>
      </c>
      <c r="BC70" s="5" t="str">
        <f t="shared" si="92"/>
        <v>30-35</v>
      </c>
      <c r="BD70" s="5" t="str">
        <f t="shared" si="93"/>
        <v>4EXP-4-6EXP-4</v>
      </c>
      <c r="BE70" s="5" t="str">
        <f t="shared" si="94"/>
        <v>600-900</v>
      </c>
      <c r="BF70" s="5" t="str">
        <f t="shared" si="95"/>
        <v>1000-1500</v>
      </c>
      <c r="BG70" s="5" t="str">
        <f t="shared" si="96"/>
        <v>SE</v>
      </c>
      <c r="BH70" s="5" t="str">
        <f t="shared" si="97"/>
        <v>40-60</v>
      </c>
      <c r="BI70" s="5" t="str">
        <f t="shared" si="98"/>
        <v>32-34</v>
      </c>
      <c r="BK70" s="5">
        <f t="shared" si="99"/>
        <v>1</v>
      </c>
      <c r="BL70" s="5">
        <f t="shared" si="100"/>
        <v>0</v>
      </c>
      <c r="BM70" s="5">
        <f t="shared" si="101"/>
        <v>1</v>
      </c>
      <c r="BN70" s="5">
        <f t="shared" si="102"/>
        <v>1</v>
      </c>
      <c r="BO70" s="5">
        <f t="shared" si="103"/>
        <v>0</v>
      </c>
      <c r="BP70" s="5">
        <f t="shared" si="104"/>
        <v>1</v>
      </c>
      <c r="BQ70" s="5">
        <f t="shared" si="105"/>
        <v>0</v>
      </c>
      <c r="BR70" s="5">
        <f t="shared" si="106"/>
        <v>1</v>
      </c>
      <c r="BS70" s="5">
        <f t="shared" si="107"/>
        <v>1</v>
      </c>
      <c r="BU70" s="18">
        <f t="shared" si="108"/>
        <v>26.918389656573517</v>
      </c>
      <c r="BV70" s="18">
        <f t="shared" si="109"/>
        <v>4.2332212171668253</v>
      </c>
      <c r="BW70" s="18">
        <f t="shared" si="110"/>
        <v>2.6032212171668254</v>
      </c>
      <c r="BX70" s="18">
        <f t="shared" si="111"/>
        <v>5.8632212171668252</v>
      </c>
      <c r="BY70" s="5">
        <f t="shared" si="112"/>
        <v>1</v>
      </c>
      <c r="CB70" s="18">
        <f t="shared" si="113"/>
        <v>1.71</v>
      </c>
      <c r="CC70" s="18" t="str">
        <f>IF($BG70=CC$1,$AI70," ")</f>
        <v xml:space="preserve"> </v>
      </c>
    </row>
    <row r="71" spans="1:81" s="47" customFormat="1" ht="9" customHeight="1" x14ac:dyDescent="0.15">
      <c r="A71" s="43" t="s">
        <v>111</v>
      </c>
      <c r="B71" s="44" t="s">
        <v>112</v>
      </c>
      <c r="C71" s="43" t="s">
        <v>113</v>
      </c>
      <c r="D71" s="48">
        <v>5</v>
      </c>
      <c r="E71" s="49">
        <v>208</v>
      </c>
      <c r="F71" s="8">
        <f t="shared" si="77"/>
        <v>6</v>
      </c>
      <c r="G71" s="45">
        <v>2315</v>
      </c>
      <c r="H71" s="49">
        <v>2125</v>
      </c>
      <c r="I71" s="45">
        <v>123</v>
      </c>
      <c r="J71" s="45">
        <v>121</v>
      </c>
      <c r="K71" s="85">
        <f t="shared" si="78"/>
        <v>39.571902813889267</v>
      </c>
      <c r="L71" s="11">
        <f t="shared" si="79"/>
        <v>2.3370000000000002</v>
      </c>
      <c r="M71" s="10">
        <f t="shared" si="80"/>
        <v>2</v>
      </c>
      <c r="N71" s="4">
        <v>1420</v>
      </c>
      <c r="O71" s="90">
        <f t="shared" si="81"/>
        <v>84.57415128052412</v>
      </c>
      <c r="P71" s="46">
        <v>1</v>
      </c>
      <c r="Q71" s="46">
        <v>1655</v>
      </c>
      <c r="R71" s="46">
        <v>384</v>
      </c>
      <c r="S71" s="46">
        <v>1600</v>
      </c>
      <c r="T71" s="85">
        <f>DEGREES(ATAN((Q71-S71)/R71))</f>
        <v>8.150990351594821</v>
      </c>
      <c r="U71" s="46"/>
      <c r="V71" s="46"/>
      <c r="W71" s="46"/>
      <c r="X71" s="10"/>
      <c r="Y71" s="52">
        <v>1600</v>
      </c>
      <c r="Z71" s="51">
        <v>384</v>
      </c>
      <c r="AA71" s="46"/>
      <c r="AB71" s="46"/>
      <c r="AC71" s="85">
        <v>8.150990351594821</v>
      </c>
      <c r="AD71" s="53">
        <v>1679</v>
      </c>
      <c r="AE71" s="65">
        <f>0.0002*2</f>
        <v>4.0000000000000002E-4</v>
      </c>
      <c r="AF71" s="51">
        <v>715</v>
      </c>
      <c r="AG71" s="11">
        <f t="shared" si="82"/>
        <v>23.066667812222345</v>
      </c>
      <c r="AH71" s="50">
        <f t="shared" si="83"/>
        <v>27.005779249839001</v>
      </c>
      <c r="AI71" s="54">
        <v>3.8835000000000002</v>
      </c>
      <c r="AJ71" s="4">
        <v>295</v>
      </c>
      <c r="AK71" s="4">
        <v>724</v>
      </c>
      <c r="AL71" s="75">
        <f>(AJ71/AD71)*100</f>
        <v>17.569982132221558</v>
      </c>
      <c r="AM71" s="75">
        <f>(AK71/AD71)*100</f>
        <v>43.120905300774268</v>
      </c>
      <c r="AN71" s="55"/>
      <c r="AO71" s="46">
        <v>4</v>
      </c>
      <c r="AP71" s="53">
        <v>4</v>
      </c>
      <c r="AQ71" s="71">
        <f t="shared" si="84"/>
        <v>2</v>
      </c>
      <c r="AT71" s="18">
        <f t="shared" si="85"/>
        <v>27.005779249839001</v>
      </c>
      <c r="AU71" s="18">
        <f t="shared" si="86"/>
        <v>23.066667812222345</v>
      </c>
      <c r="AV71" s="18">
        <f t="shared" si="87"/>
        <v>3.9391114376166563</v>
      </c>
      <c r="AX71" s="18">
        <f t="shared" si="88"/>
        <v>25.675450022376033</v>
      </c>
      <c r="AY71" s="18">
        <f t="shared" si="89"/>
        <v>-2.6087822101536879</v>
      </c>
      <c r="BA71" s="17">
        <f t="shared" si="90"/>
        <v>660</v>
      </c>
      <c r="BB71" s="17">
        <f t="shared" si="91"/>
        <v>1295</v>
      </c>
      <c r="BC71" s="5" t="str">
        <f t="shared" si="92"/>
        <v>35-40</v>
      </c>
      <c r="BD71" s="5" t="str">
        <f t="shared" si="93"/>
        <v>4EXP-4-6EXP-4</v>
      </c>
      <c r="BE71" s="5" t="str">
        <f t="shared" si="94"/>
        <v>600-900</v>
      </c>
      <c r="BF71" s="5" t="str">
        <f t="shared" si="95"/>
        <v>1500-2000</v>
      </c>
      <c r="BG71" s="5" t="str">
        <f t="shared" si="96"/>
        <v>SE</v>
      </c>
      <c r="BH71" s="5" t="str">
        <f t="shared" si="97"/>
        <v>80-100</v>
      </c>
      <c r="BI71" s="5" t="str">
        <f t="shared" si="98"/>
        <v>38-40</v>
      </c>
      <c r="BK71" s="5">
        <f t="shared" si="99"/>
        <v>1</v>
      </c>
      <c r="BL71" s="5">
        <f t="shared" si="100"/>
        <v>0</v>
      </c>
      <c r="BM71" s="5">
        <f t="shared" si="101"/>
        <v>1</v>
      </c>
      <c r="BN71" s="5">
        <f t="shared" si="102"/>
        <v>1</v>
      </c>
      <c r="BO71" s="5">
        <f t="shared" si="103"/>
        <v>0</v>
      </c>
      <c r="BP71" s="5">
        <f t="shared" si="104"/>
        <v>1</v>
      </c>
      <c r="BQ71" s="5">
        <f t="shared" si="105"/>
        <v>0</v>
      </c>
      <c r="BR71" s="5">
        <f t="shared" si="106"/>
        <v>0</v>
      </c>
      <c r="BS71" s="5">
        <f t="shared" si="107"/>
        <v>1</v>
      </c>
      <c r="BU71" s="18">
        <f t="shared" si="108"/>
        <v>25.356113471518615</v>
      </c>
      <c r="BV71" s="18">
        <f t="shared" si="109"/>
        <v>-2.2894456592962698</v>
      </c>
      <c r="BW71" s="18">
        <f t="shared" si="110"/>
        <v>-3.9194456592962696</v>
      </c>
      <c r="BX71" s="18">
        <f t="shared" si="111"/>
        <v>-0.65944565929626986</v>
      </c>
      <c r="BY71" s="5">
        <f t="shared" si="112"/>
        <v>0</v>
      </c>
      <c r="CB71" s="18">
        <f t="shared" si="113"/>
        <v>3.8835000000000002</v>
      </c>
      <c r="CC71" s="18" t="str">
        <f>IF($BG71=CC$1,$AI71," ")</f>
        <v xml:space="preserve"> </v>
      </c>
    </row>
    <row r="72" spans="1:81" s="47" customFormat="1" ht="9" customHeight="1" x14ac:dyDescent="0.15">
      <c r="A72" s="43" t="s">
        <v>114</v>
      </c>
      <c r="B72" s="44" t="s">
        <v>115</v>
      </c>
      <c r="C72" s="43" t="s">
        <v>116</v>
      </c>
      <c r="D72" s="48">
        <v>5</v>
      </c>
      <c r="E72" s="49">
        <v>146</v>
      </c>
      <c r="F72" s="8">
        <f t="shared" si="77"/>
        <v>4</v>
      </c>
      <c r="G72" s="45">
        <v>2280</v>
      </c>
      <c r="H72" s="49">
        <v>2125</v>
      </c>
      <c r="I72" s="45">
        <v>254</v>
      </c>
      <c r="J72" s="45">
        <v>150</v>
      </c>
      <c r="K72" s="85">
        <f t="shared" si="78"/>
        <v>33.690067525979785</v>
      </c>
      <c r="L72" s="11">
        <f t="shared" si="79"/>
        <v>3.9369999999999998</v>
      </c>
      <c r="M72" s="10">
        <f t="shared" si="80"/>
        <v>3</v>
      </c>
      <c r="N72" s="4">
        <v>1463</v>
      </c>
      <c r="O72" s="90">
        <f t="shared" si="81"/>
        <v>75.257201646090536</v>
      </c>
      <c r="P72" s="46">
        <v>1</v>
      </c>
      <c r="Q72" s="46">
        <v>1680</v>
      </c>
      <c r="R72" s="46">
        <v>685</v>
      </c>
      <c r="S72" s="46">
        <v>1612</v>
      </c>
      <c r="T72" s="85">
        <f>DEGREES(ATAN((Q72-S72)/R72))</f>
        <v>5.6691824916941078</v>
      </c>
      <c r="U72" s="46"/>
      <c r="V72" s="46"/>
      <c r="W72" s="46"/>
      <c r="X72" s="10"/>
      <c r="Y72" s="52">
        <v>1612</v>
      </c>
      <c r="Z72" s="51">
        <v>685</v>
      </c>
      <c r="AA72" s="46"/>
      <c r="AB72" s="46"/>
      <c r="AC72" s="85">
        <v>5.6691824916941078</v>
      </c>
      <c r="AD72" s="53">
        <v>1944</v>
      </c>
      <c r="AE72" s="65">
        <f>0.0002*2</f>
        <v>4.0000000000000002E-4</v>
      </c>
      <c r="AF72" s="51">
        <v>668</v>
      </c>
      <c r="AG72" s="11">
        <f t="shared" si="82"/>
        <v>18.963817920711463</v>
      </c>
      <c r="AH72" s="50">
        <f t="shared" si="83"/>
        <v>25.48100768331436</v>
      </c>
      <c r="AI72" s="54">
        <v>9.4101999999999997</v>
      </c>
      <c r="AJ72" s="4">
        <v>1039</v>
      </c>
      <c r="AK72" s="4">
        <v>302</v>
      </c>
      <c r="AL72" s="75">
        <f>(AJ72/AD72)*100</f>
        <v>53.446502057613166</v>
      </c>
      <c r="AM72" s="75">
        <f>(AK72/AD72)*100</f>
        <v>15.534979423868311</v>
      </c>
      <c r="AN72" s="55"/>
      <c r="AO72" s="46">
        <v>4</v>
      </c>
      <c r="AP72" s="53">
        <v>4</v>
      </c>
      <c r="AQ72" s="71">
        <f t="shared" si="84"/>
        <v>2</v>
      </c>
      <c r="AT72" s="18">
        <f t="shared" si="85"/>
        <v>25.48100768331436</v>
      </c>
      <c r="AU72" s="18">
        <f t="shared" si="86"/>
        <v>18.963817920711463</v>
      </c>
      <c r="AV72" s="18">
        <f t="shared" si="87"/>
        <v>6.5171897626028965</v>
      </c>
      <c r="AX72" s="18">
        <f t="shared" si="88"/>
        <v>23.586375916152058</v>
      </c>
      <c r="AY72" s="18">
        <f t="shared" si="89"/>
        <v>-4.6225579954405944</v>
      </c>
      <c r="BA72" s="17">
        <f t="shared" si="90"/>
        <v>600</v>
      </c>
      <c r="BB72" s="17">
        <f t="shared" si="91"/>
        <v>1259</v>
      </c>
      <c r="BC72" s="5" t="str">
        <f t="shared" si="92"/>
        <v>30-35</v>
      </c>
      <c r="BD72" s="5" t="str">
        <f t="shared" si="93"/>
        <v>4EXP-4-6EXP-4</v>
      </c>
      <c r="BE72" s="5" t="str">
        <f t="shared" si="94"/>
        <v>600-900</v>
      </c>
      <c r="BF72" s="5" t="str">
        <f t="shared" si="95"/>
        <v>1500-2000</v>
      </c>
      <c r="BG72" s="5" t="str">
        <f t="shared" si="96"/>
        <v>SE</v>
      </c>
      <c r="BH72" s="5" t="str">
        <f t="shared" si="97"/>
        <v>60-80</v>
      </c>
      <c r="BI72" s="5" t="str">
        <f t="shared" si="98"/>
        <v>32-34</v>
      </c>
      <c r="BK72" s="5">
        <f t="shared" si="99"/>
        <v>1</v>
      </c>
      <c r="BL72" s="5">
        <f t="shared" si="100"/>
        <v>0</v>
      </c>
      <c r="BM72" s="5">
        <f t="shared" si="101"/>
        <v>0</v>
      </c>
      <c r="BN72" s="5">
        <f t="shared" si="102"/>
        <v>1</v>
      </c>
      <c r="BO72" s="5">
        <f t="shared" si="103"/>
        <v>0</v>
      </c>
      <c r="BP72" s="5">
        <f t="shared" si="104"/>
        <v>0</v>
      </c>
      <c r="BQ72" s="5">
        <f t="shared" si="105"/>
        <v>0</v>
      </c>
      <c r="BR72" s="5">
        <f t="shared" si="106"/>
        <v>0</v>
      </c>
      <c r="BS72" s="5">
        <f t="shared" si="107"/>
        <v>1</v>
      </c>
      <c r="BU72" s="18">
        <f t="shared" si="108"/>
        <v>23.239430124919103</v>
      </c>
      <c r="BV72" s="18">
        <f t="shared" si="109"/>
        <v>-4.2756122042076399</v>
      </c>
      <c r="BW72" s="18">
        <f t="shared" si="110"/>
        <v>-5.9056122042076398</v>
      </c>
      <c r="BX72" s="18">
        <f t="shared" si="111"/>
        <v>-2.64561220420764</v>
      </c>
      <c r="BY72" s="5">
        <f t="shared" si="112"/>
        <v>0</v>
      </c>
      <c r="CB72" s="18">
        <f t="shared" si="113"/>
        <v>9.4101999999999997</v>
      </c>
      <c r="CC72" s="18" t="str">
        <f>IF($BG72=CC$1,$AI72," ")</f>
        <v xml:space="preserve"> </v>
      </c>
    </row>
    <row r="73" spans="1:81" s="47" customFormat="1" ht="9" customHeight="1" x14ac:dyDescent="0.15">
      <c r="A73" s="43" t="s">
        <v>242</v>
      </c>
      <c r="B73" s="44" t="str">
        <f>MID(A73,1,6)</f>
        <v>SNC052</v>
      </c>
      <c r="C73" s="43" t="s">
        <v>243</v>
      </c>
      <c r="D73" s="48">
        <v>2</v>
      </c>
      <c r="E73" s="45">
        <v>336</v>
      </c>
      <c r="F73" s="8">
        <f t="shared" si="77"/>
        <v>8</v>
      </c>
      <c r="G73" s="45">
        <v>2475</v>
      </c>
      <c r="H73" s="49">
        <v>2300</v>
      </c>
      <c r="I73" s="49">
        <v>150</v>
      </c>
      <c r="J73" s="45">
        <v>143</v>
      </c>
      <c r="K73" s="85">
        <f t="shared" si="78"/>
        <v>34.965120773533563</v>
      </c>
      <c r="L73" s="50">
        <f t="shared" si="79"/>
        <v>2.625</v>
      </c>
      <c r="M73" s="10">
        <f t="shared" si="80"/>
        <v>3</v>
      </c>
      <c r="N73" s="4">
        <v>543</v>
      </c>
      <c r="O73" s="90">
        <f t="shared" si="81"/>
        <v>29.162191192266381</v>
      </c>
      <c r="P73" s="46">
        <v>1</v>
      </c>
      <c r="Q73" s="46">
        <v>1545</v>
      </c>
      <c r="R73" s="46">
        <v>170</v>
      </c>
      <c r="S73" s="46">
        <v>1533</v>
      </c>
      <c r="T73" s="85">
        <f>DEGREES(ATAN((Q73-S73)/R73))</f>
        <v>4.0377106209771236</v>
      </c>
      <c r="U73" s="46"/>
      <c r="V73" s="46"/>
      <c r="W73" s="46"/>
      <c r="X73" s="10"/>
      <c r="Y73" s="52">
        <f>S73</f>
        <v>1533</v>
      </c>
      <c r="Z73" s="51">
        <f>R73+V73-U73</f>
        <v>170</v>
      </c>
      <c r="AA73" s="46"/>
      <c r="AB73" s="46"/>
      <c r="AC73" s="85">
        <f>T73</f>
        <v>4.0377106209771236</v>
      </c>
      <c r="AD73" s="53">
        <v>1862</v>
      </c>
      <c r="AE73" s="65">
        <f>0.00006*2</f>
        <v>1.2E-4</v>
      </c>
      <c r="AF73" s="51">
        <f>G73-S73</f>
        <v>942</v>
      </c>
      <c r="AG73" s="11">
        <f t="shared" si="82"/>
        <v>26.835196442551855</v>
      </c>
      <c r="AH73" s="50">
        <f t="shared" si="83"/>
        <v>28.795192441925533</v>
      </c>
      <c r="AI73" s="54"/>
      <c r="AJ73" s="4"/>
      <c r="AK73" s="4"/>
      <c r="AL73" s="75"/>
      <c r="AM73" s="75"/>
      <c r="AN73" s="55"/>
      <c r="AO73" s="46">
        <v>4</v>
      </c>
      <c r="AP73" s="53">
        <v>3</v>
      </c>
      <c r="AQ73" s="71">
        <f t="shared" si="84"/>
        <v>2</v>
      </c>
      <c r="AT73" s="18">
        <f t="shared" si="85"/>
        <v>28.795192441925533</v>
      </c>
      <c r="AU73" s="18">
        <f t="shared" si="86"/>
        <v>26.835196442551855</v>
      </c>
      <c r="AV73" s="18">
        <f t="shared" si="87"/>
        <v>1.9599959993736782</v>
      </c>
      <c r="AX73" s="18">
        <f t="shared" si="88"/>
        <v>26.220298180282658</v>
      </c>
      <c r="AY73" s="18">
        <f t="shared" si="89"/>
        <v>0.61489826226919675</v>
      </c>
      <c r="BA73" s="17">
        <f t="shared" si="90"/>
        <v>930</v>
      </c>
      <c r="BB73" s="17">
        <f t="shared" si="91"/>
        <v>1692</v>
      </c>
      <c r="BC73" s="5" t="str">
        <f t="shared" si="92"/>
        <v>30-35</v>
      </c>
      <c r="BD73" s="5" t="str">
        <f t="shared" si="93"/>
        <v>&lt;2EXP-4</v>
      </c>
      <c r="BE73" s="5" t="str">
        <f t="shared" si="94"/>
        <v>900-1200</v>
      </c>
      <c r="BF73" s="5" t="str">
        <f t="shared" si="95"/>
        <v>1500-2000</v>
      </c>
      <c r="BG73" s="5" t="str">
        <f t="shared" si="96"/>
        <v>NW</v>
      </c>
      <c r="BH73" s="5" t="str">
        <f t="shared" si="97"/>
        <v>20-40</v>
      </c>
      <c r="BI73" s="5" t="str">
        <f t="shared" si="98"/>
        <v>34-36</v>
      </c>
      <c r="BK73" s="5">
        <f t="shared" si="99"/>
        <v>1</v>
      </c>
      <c r="BL73" s="5">
        <f t="shared" si="100"/>
        <v>0</v>
      </c>
      <c r="BM73" s="5">
        <f t="shared" si="101"/>
        <v>1</v>
      </c>
      <c r="BN73" s="5">
        <f t="shared" si="102"/>
        <v>1</v>
      </c>
      <c r="BO73" s="5">
        <f t="shared" si="103"/>
        <v>0</v>
      </c>
      <c r="BP73" s="5">
        <f t="shared" si="104"/>
        <v>0</v>
      </c>
      <c r="BQ73" s="5">
        <f t="shared" si="105"/>
        <v>1</v>
      </c>
      <c r="BR73" s="5">
        <f t="shared" si="106"/>
        <v>1</v>
      </c>
      <c r="BS73" s="5">
        <f t="shared" si="107"/>
        <v>1</v>
      </c>
      <c r="BU73" s="18">
        <f t="shared" si="108"/>
        <v>27.22703261131031</v>
      </c>
      <c r="BV73" s="18">
        <f t="shared" si="109"/>
        <v>-0.39183616875845573</v>
      </c>
      <c r="BW73" s="18">
        <f t="shared" si="110"/>
        <v>-2.0218361687584556</v>
      </c>
      <c r="BX73" s="18">
        <f t="shared" si="111"/>
        <v>1.2381638312415442</v>
      </c>
      <c r="BY73" s="5" t="str">
        <f t="shared" si="112"/>
        <v/>
      </c>
      <c r="CB73" s="18" t="str">
        <f t="shared" si="113"/>
        <v xml:space="preserve"> </v>
      </c>
      <c r="CC73" s="18"/>
    </row>
    <row r="74" spans="1:81" s="47" customFormat="1" ht="9" customHeight="1" x14ac:dyDescent="0.15">
      <c r="A74" s="43" t="s">
        <v>244</v>
      </c>
      <c r="B74" s="44" t="str">
        <f>MID(A74,1,6)</f>
        <v>SNC052</v>
      </c>
      <c r="C74" s="43" t="s">
        <v>243</v>
      </c>
      <c r="D74" s="48">
        <v>2</v>
      </c>
      <c r="E74" s="49">
        <v>320</v>
      </c>
      <c r="F74" s="8">
        <f t="shared" si="77"/>
        <v>8</v>
      </c>
      <c r="G74" s="45">
        <v>2740</v>
      </c>
      <c r="H74" s="49">
        <v>2550</v>
      </c>
      <c r="I74" s="45">
        <v>132</v>
      </c>
      <c r="J74" s="45">
        <v>147</v>
      </c>
      <c r="K74" s="85">
        <f t="shared" si="78"/>
        <v>34.226361812223821</v>
      </c>
      <c r="L74" s="50">
        <f t="shared" si="79"/>
        <v>2.508</v>
      </c>
      <c r="M74" s="10">
        <f t="shared" si="80"/>
        <v>3</v>
      </c>
      <c r="N74" s="4">
        <v>677</v>
      </c>
      <c r="O74" s="90">
        <f t="shared" si="81"/>
        <v>32.81628696073679</v>
      </c>
      <c r="P74" s="46">
        <v>1</v>
      </c>
      <c r="Q74" s="46">
        <v>1607</v>
      </c>
      <c r="R74" s="46">
        <v>61</v>
      </c>
      <c r="S74" s="46">
        <v>1595</v>
      </c>
      <c r="T74" s="85">
        <f>DEGREES(ATAN((Q74-S74)/R74))</f>
        <v>11.129189289611185</v>
      </c>
      <c r="U74" s="46"/>
      <c r="V74" s="46"/>
      <c r="W74" s="46"/>
      <c r="X74" s="10"/>
      <c r="Y74" s="52">
        <f>S74</f>
        <v>1595</v>
      </c>
      <c r="Z74" s="51">
        <f>R74+V74-U74</f>
        <v>61</v>
      </c>
      <c r="AA74" s="46"/>
      <c r="AB74" s="46"/>
      <c r="AC74" s="85">
        <f>T74</f>
        <v>11.129189289611185</v>
      </c>
      <c r="AD74" s="53">
        <v>2063</v>
      </c>
      <c r="AE74" s="65">
        <f>0.00007*2</f>
        <v>1.3999999999999999E-4</v>
      </c>
      <c r="AF74" s="51">
        <f>G74-S74</f>
        <v>1145</v>
      </c>
      <c r="AG74" s="11">
        <f t="shared" si="82"/>
        <v>29.031017825292945</v>
      </c>
      <c r="AH74" s="50">
        <f t="shared" si="83"/>
        <v>29.506999830693072</v>
      </c>
      <c r="AI74" s="54"/>
      <c r="AJ74" s="4"/>
      <c r="AK74" s="4"/>
      <c r="AL74" s="75"/>
      <c r="AM74" s="75"/>
      <c r="AN74" s="55"/>
      <c r="AO74" s="46">
        <v>4</v>
      </c>
      <c r="AP74" s="53">
        <v>3</v>
      </c>
      <c r="AQ74" s="71">
        <f t="shared" si="84"/>
        <v>2</v>
      </c>
      <c r="AT74" s="18">
        <f t="shared" si="85"/>
        <v>29.506999830693072</v>
      </c>
      <c r="AU74" s="18">
        <f t="shared" si="86"/>
        <v>29.031017825292945</v>
      </c>
      <c r="AV74" s="18">
        <f t="shared" si="87"/>
        <v>0.4759820054001267</v>
      </c>
      <c r="AX74" s="18">
        <f t="shared" si="88"/>
        <v>26.567389869633669</v>
      </c>
      <c r="AY74" s="18">
        <f t="shared" si="89"/>
        <v>2.4636279556592768</v>
      </c>
      <c r="BA74" s="17">
        <f t="shared" si="90"/>
        <v>1133</v>
      </c>
      <c r="BB74" s="17">
        <f t="shared" si="91"/>
        <v>2002</v>
      </c>
      <c r="BC74" s="5" t="str">
        <f t="shared" si="92"/>
        <v>30-35</v>
      </c>
      <c r="BD74" s="5" t="str">
        <f t="shared" si="93"/>
        <v>&lt;2EXP-4</v>
      </c>
      <c r="BE74" s="5" t="str">
        <f t="shared" si="94"/>
        <v>900-1200</v>
      </c>
      <c r="BF74" s="5" t="str">
        <f t="shared" si="95"/>
        <v>2000-2500</v>
      </c>
      <c r="BG74" s="5" t="str">
        <f t="shared" si="96"/>
        <v>NW</v>
      </c>
      <c r="BH74" s="5" t="str">
        <f t="shared" si="97"/>
        <v>20-40</v>
      </c>
      <c r="BI74" s="5" t="str">
        <f t="shared" si="98"/>
        <v>34-36</v>
      </c>
      <c r="BK74" s="5">
        <f t="shared" si="99"/>
        <v>1</v>
      </c>
      <c r="BL74" s="5">
        <f t="shared" si="100"/>
        <v>0</v>
      </c>
      <c r="BM74" s="5">
        <f t="shared" si="101"/>
        <v>1</v>
      </c>
      <c r="BN74" s="5">
        <f t="shared" si="102"/>
        <v>1</v>
      </c>
      <c r="BO74" s="5">
        <f t="shared" si="103"/>
        <v>0</v>
      </c>
      <c r="BP74" s="5">
        <f t="shared" si="104"/>
        <v>0</v>
      </c>
      <c r="BQ74" s="5">
        <f t="shared" si="105"/>
        <v>1</v>
      </c>
      <c r="BR74" s="5">
        <f t="shared" si="106"/>
        <v>1</v>
      </c>
      <c r="BS74" s="5">
        <f t="shared" si="107"/>
        <v>1</v>
      </c>
      <c r="BU74" s="18">
        <f t="shared" si="108"/>
        <v>28.245373453268471</v>
      </c>
      <c r="BV74" s="18">
        <f t="shared" si="109"/>
        <v>0.78564437202447479</v>
      </c>
      <c r="BW74" s="18">
        <f t="shared" si="110"/>
        <v>-0.8443556279755251</v>
      </c>
      <c r="BX74" s="18">
        <f t="shared" si="111"/>
        <v>2.4156443720244747</v>
      </c>
      <c r="BY74" s="5" t="str">
        <f t="shared" si="112"/>
        <v/>
      </c>
      <c r="CB74" s="18" t="str">
        <f t="shared" si="113"/>
        <v xml:space="preserve"> </v>
      </c>
      <c r="CC74" s="18"/>
    </row>
    <row r="75" spans="1:81" s="47" customFormat="1" ht="9" customHeight="1" x14ac:dyDescent="0.15">
      <c r="A75" s="77" t="s">
        <v>285</v>
      </c>
      <c r="B75" s="2" t="str">
        <f>MID(A75,1,6)</f>
        <v>SNC489</v>
      </c>
      <c r="C75" s="1" t="s">
        <v>286</v>
      </c>
      <c r="D75" s="6">
        <v>2</v>
      </c>
      <c r="E75" s="7">
        <v>112</v>
      </c>
      <c r="F75" s="8">
        <f t="shared" si="77"/>
        <v>3</v>
      </c>
      <c r="G75" s="3">
        <v>2735</v>
      </c>
      <c r="H75" s="58">
        <v>2602</v>
      </c>
      <c r="I75" s="58">
        <v>167</v>
      </c>
      <c r="J75" s="45">
        <v>131</v>
      </c>
      <c r="K75" s="85">
        <f t="shared" si="78"/>
        <v>37.356621928520433</v>
      </c>
      <c r="L75" s="11">
        <f t="shared" si="79"/>
        <v>2.2210999999999999</v>
      </c>
      <c r="M75" s="10">
        <f t="shared" si="80"/>
        <v>2</v>
      </c>
      <c r="N75" s="4">
        <v>737</v>
      </c>
      <c r="O75" s="90">
        <f t="shared" si="81"/>
        <v>54.111600587371512</v>
      </c>
      <c r="P75" s="4">
        <v>5</v>
      </c>
      <c r="Q75" s="4">
        <v>1885</v>
      </c>
      <c r="R75" s="17"/>
      <c r="S75" s="4">
        <v>1885</v>
      </c>
      <c r="T75" s="85"/>
      <c r="U75" s="4"/>
      <c r="V75" s="4">
        <v>156</v>
      </c>
      <c r="W75" s="4">
        <v>1887</v>
      </c>
      <c r="X75" s="10">
        <f>DEGREES(ATAN((W75-S75)/V75))</f>
        <v>0.73452103425481541</v>
      </c>
      <c r="Y75" s="14">
        <v>1887</v>
      </c>
      <c r="Z75" s="12">
        <f>R75+V75-U75</f>
        <v>156</v>
      </c>
      <c r="AA75" s="46"/>
      <c r="AB75" s="46"/>
      <c r="AC75" s="85"/>
      <c r="AD75" s="13">
        <v>1362</v>
      </c>
      <c r="AE75" s="3">
        <f>2*(POWER(10,-4))*2</f>
        <v>4.0000000000000002E-4</v>
      </c>
      <c r="AF75" s="51">
        <f>G75-S75</f>
        <v>850</v>
      </c>
      <c r="AG75" s="11">
        <f t="shared" si="82"/>
        <v>31.967554229351368</v>
      </c>
      <c r="AH75" s="50">
        <f t="shared" si="83"/>
        <v>35.176536785092424</v>
      </c>
      <c r="AI75" s="54"/>
      <c r="AJ75" s="4"/>
      <c r="AK75" s="4"/>
      <c r="AL75" s="75"/>
      <c r="AM75" s="75"/>
      <c r="AN75" s="57"/>
      <c r="AO75" s="4">
        <v>4</v>
      </c>
      <c r="AP75" s="13">
        <v>3</v>
      </c>
      <c r="AQ75" s="71">
        <f t="shared" si="84"/>
        <v>2</v>
      </c>
      <c r="AT75" s="18">
        <f t="shared" si="85"/>
        <v>35.176536785092424</v>
      </c>
      <c r="AU75" s="18">
        <f t="shared" si="86"/>
        <v>31.967554229351368</v>
      </c>
      <c r="AV75" s="18">
        <f t="shared" si="87"/>
        <v>3.2089825557410556</v>
      </c>
      <c r="AX75" s="18">
        <f t="shared" si="88"/>
        <v>32.283933324521172</v>
      </c>
      <c r="AY75" s="18">
        <f t="shared" si="89"/>
        <v>-0.316379095169804</v>
      </c>
      <c r="BA75" s="17">
        <f t="shared" si="90"/>
        <v>850</v>
      </c>
      <c r="BB75" s="17">
        <f t="shared" si="91"/>
        <v>1206</v>
      </c>
      <c r="BC75" s="5" t="str">
        <f t="shared" si="92"/>
        <v>35-40</v>
      </c>
      <c r="BD75" s="5" t="str">
        <f t="shared" si="93"/>
        <v>4EXP-4-6EXP-4</v>
      </c>
      <c r="BE75" s="5" t="str">
        <f t="shared" si="94"/>
        <v>600-900</v>
      </c>
      <c r="BF75" s="5" t="str">
        <f t="shared" si="95"/>
        <v>1000-1500</v>
      </c>
      <c r="BG75" s="5" t="str">
        <f t="shared" si="96"/>
        <v>SE</v>
      </c>
      <c r="BH75" s="5" t="str">
        <f t="shared" si="97"/>
        <v>40-60</v>
      </c>
      <c r="BI75" s="5" t="str">
        <f t="shared" si="98"/>
        <v>36-38</v>
      </c>
      <c r="BK75" s="5">
        <f t="shared" si="99"/>
        <v>1</v>
      </c>
      <c r="BL75" s="5">
        <f t="shared" si="100"/>
        <v>0</v>
      </c>
      <c r="BM75" s="5">
        <f t="shared" si="101"/>
        <v>1</v>
      </c>
      <c r="BN75" s="5">
        <f t="shared" si="102"/>
        <v>1</v>
      </c>
      <c r="BO75" s="5">
        <f t="shared" si="103"/>
        <v>1</v>
      </c>
      <c r="BP75" s="5">
        <f t="shared" si="104"/>
        <v>1</v>
      </c>
      <c r="BQ75" s="5">
        <f t="shared" si="105"/>
        <v>0</v>
      </c>
      <c r="BR75" s="5">
        <f t="shared" si="106"/>
        <v>1</v>
      </c>
      <c r="BS75" s="5">
        <f t="shared" si="107"/>
        <v>1</v>
      </c>
      <c r="BU75" s="18">
        <f t="shared" si="108"/>
        <v>32.770103060681876</v>
      </c>
      <c r="BV75" s="18">
        <f t="shared" si="109"/>
        <v>-0.80254883133050825</v>
      </c>
      <c r="BW75" s="18">
        <f t="shared" si="110"/>
        <v>-2.4325488313305081</v>
      </c>
      <c r="BX75" s="18">
        <f t="shared" si="111"/>
        <v>0.82745116866949164</v>
      </c>
      <c r="BY75" s="5" t="str">
        <f t="shared" si="112"/>
        <v/>
      </c>
      <c r="CB75" s="18"/>
      <c r="CC75" s="18"/>
    </row>
    <row r="76" spans="1:81" s="47" customFormat="1" ht="9" customHeight="1" x14ac:dyDescent="0.15">
      <c r="A76" s="43" t="s">
        <v>297</v>
      </c>
      <c r="B76" s="44" t="s">
        <v>117</v>
      </c>
      <c r="C76" s="43" t="s">
        <v>118</v>
      </c>
      <c r="D76" s="48">
        <v>5</v>
      </c>
      <c r="E76" s="49">
        <v>180</v>
      </c>
      <c r="F76" s="8">
        <f t="shared" si="77"/>
        <v>5</v>
      </c>
      <c r="G76" s="45">
        <v>2365</v>
      </c>
      <c r="H76" s="49">
        <v>2200</v>
      </c>
      <c r="I76" s="49">
        <v>234</v>
      </c>
      <c r="J76" s="45">
        <v>193</v>
      </c>
      <c r="K76" s="85">
        <f t="shared" si="78"/>
        <v>27.390241970032854</v>
      </c>
      <c r="L76" s="11">
        <f t="shared" si="79"/>
        <v>3.8610000000000002</v>
      </c>
      <c r="M76" s="10">
        <f t="shared" si="80"/>
        <v>3</v>
      </c>
      <c r="N76" s="4">
        <v>1575</v>
      </c>
      <c r="O76" s="90">
        <f t="shared" si="81"/>
        <v>79.265223955712131</v>
      </c>
      <c r="P76" s="46">
        <v>1</v>
      </c>
      <c r="Q76" s="46">
        <v>1785</v>
      </c>
      <c r="R76" s="46">
        <v>392</v>
      </c>
      <c r="S76" s="46">
        <v>1719</v>
      </c>
      <c r="T76" s="85">
        <f t="shared" ref="T76:T82" si="114">DEGREES(ATAN((Q76-S76)/R76))</f>
        <v>9.5571042216706648</v>
      </c>
      <c r="U76" s="46"/>
      <c r="V76" s="46"/>
      <c r="W76" s="46"/>
      <c r="X76" s="10"/>
      <c r="Y76" s="52">
        <v>1719</v>
      </c>
      <c r="Z76" s="51">
        <v>293</v>
      </c>
      <c r="AA76" s="46"/>
      <c r="AB76" s="46"/>
      <c r="AC76" s="85">
        <v>10.253213157859218</v>
      </c>
      <c r="AD76" s="53">
        <v>1987</v>
      </c>
      <c r="AE76" s="65">
        <f>0.00009*2</f>
        <v>1.8000000000000001E-4</v>
      </c>
      <c r="AF76" s="51">
        <v>633</v>
      </c>
      <c r="AG76" s="11">
        <f t="shared" si="82"/>
        <v>17.670355359430424</v>
      </c>
      <c r="AH76" s="50">
        <f t="shared" si="83"/>
        <v>18.900428842755471</v>
      </c>
      <c r="AI76" s="54">
        <v>0</v>
      </c>
      <c r="AJ76" s="4">
        <v>0</v>
      </c>
      <c r="AK76" s="4">
        <v>0</v>
      </c>
      <c r="AL76" s="75">
        <f>(AJ76/AD76)*100</f>
        <v>0</v>
      </c>
      <c r="AM76" s="75">
        <f>(AK76/AD76)*100</f>
        <v>0</v>
      </c>
      <c r="AN76" s="55"/>
      <c r="AO76" s="46">
        <v>4</v>
      </c>
      <c r="AP76" s="53">
        <v>7</v>
      </c>
      <c r="AQ76" s="71">
        <f t="shared" si="84"/>
        <v>3</v>
      </c>
      <c r="AT76" s="18">
        <f t="shared" si="85"/>
        <v>18.900428842755471</v>
      </c>
      <c r="AU76" s="18">
        <f t="shared" si="86"/>
        <v>17.670355359430424</v>
      </c>
      <c r="AV76" s="18">
        <f t="shared" si="87"/>
        <v>1.2300734833250466</v>
      </c>
      <c r="AX76" s="18">
        <f t="shared" si="88"/>
        <v>18.476330208921713</v>
      </c>
      <c r="AY76" s="18">
        <f t="shared" si="89"/>
        <v>-0.80597484949128884</v>
      </c>
      <c r="BA76" s="17">
        <f t="shared" si="90"/>
        <v>580</v>
      </c>
      <c r="BB76" s="17">
        <f t="shared" si="91"/>
        <v>1694</v>
      </c>
      <c r="BC76" s="5" t="str">
        <f t="shared" si="92"/>
        <v>25-30</v>
      </c>
      <c r="BD76" s="5" t="str">
        <f t="shared" si="93"/>
        <v>&lt;2EXP-4</v>
      </c>
      <c r="BE76" s="5" t="str">
        <f t="shared" si="94"/>
        <v>300-600</v>
      </c>
      <c r="BF76" s="5" t="str">
        <f t="shared" si="95"/>
        <v>1500-2000</v>
      </c>
      <c r="BG76" s="5" t="str">
        <f t="shared" si="96"/>
        <v>SE</v>
      </c>
      <c r="BH76" s="5" t="str">
        <f t="shared" si="97"/>
        <v>60-80</v>
      </c>
      <c r="BI76" s="5" t="str">
        <f t="shared" si="98"/>
        <v>25-30</v>
      </c>
      <c r="BK76" s="5">
        <f t="shared" si="99"/>
        <v>0</v>
      </c>
      <c r="BL76" s="5">
        <f t="shared" si="100"/>
        <v>0</v>
      </c>
      <c r="BM76" s="5">
        <f t="shared" si="101"/>
        <v>0</v>
      </c>
      <c r="BN76" s="5">
        <f t="shared" si="102"/>
        <v>1</v>
      </c>
      <c r="BO76" s="5">
        <f t="shared" si="103"/>
        <v>0</v>
      </c>
      <c r="BP76" s="5">
        <f t="shared" si="104"/>
        <v>0</v>
      </c>
      <c r="BQ76" s="5">
        <f t="shared" si="105"/>
        <v>0</v>
      </c>
      <c r="BR76" s="5">
        <f t="shared" si="106"/>
        <v>0</v>
      </c>
      <c r="BS76" s="5">
        <f t="shared" si="107"/>
        <v>0</v>
      </c>
      <c r="BU76" s="18">
        <f t="shared" si="108"/>
        <v>17.712009304139571</v>
      </c>
      <c r="BV76" s="18">
        <f t="shared" si="109"/>
        <v>-4.1653944709146629E-2</v>
      </c>
      <c r="BW76" s="18">
        <f t="shared" si="110"/>
        <v>-1.6716539447091465</v>
      </c>
      <c r="BX76" s="18">
        <f t="shared" si="111"/>
        <v>1.5883460552908533</v>
      </c>
      <c r="BY76" s="5" t="str">
        <f t="shared" si="112"/>
        <v/>
      </c>
      <c r="CB76" s="18">
        <f>IF($BG76=CB$1,$AI76," ")</f>
        <v>0</v>
      </c>
      <c r="CC76" s="18" t="str">
        <f>IF($BG76=CC$1,$AI76," ")</f>
        <v xml:space="preserve"> </v>
      </c>
    </row>
    <row r="77" spans="1:81" s="47" customFormat="1" ht="9" customHeight="1" x14ac:dyDescent="0.15">
      <c r="A77" s="109" t="s">
        <v>291</v>
      </c>
      <c r="B77" s="44" t="str">
        <f>MID(A77,1,6)</f>
        <v>TER050</v>
      </c>
      <c r="C77" s="43"/>
      <c r="D77" s="48">
        <v>5</v>
      </c>
      <c r="E77" s="49">
        <v>135</v>
      </c>
      <c r="F77" s="8">
        <f t="shared" si="77"/>
        <v>4</v>
      </c>
      <c r="G77" s="45">
        <v>2425</v>
      </c>
      <c r="H77" s="49">
        <v>2376</v>
      </c>
      <c r="I77" s="49">
        <v>95</v>
      </c>
      <c r="J77" s="45">
        <v>124</v>
      </c>
      <c r="K77" s="118">
        <f t="shared" si="78"/>
        <v>38.884496433714595</v>
      </c>
      <c r="L77" s="119">
        <f t="shared" si="79"/>
        <v>0.46550000000000002</v>
      </c>
      <c r="M77" s="120">
        <f t="shared" si="80"/>
        <v>1</v>
      </c>
      <c r="N77" s="4">
        <v>513</v>
      </c>
      <c r="O77" s="90">
        <f t="shared" si="81"/>
        <v>32.102628285356694</v>
      </c>
      <c r="P77" s="46">
        <v>1</v>
      </c>
      <c r="Q77" s="46">
        <v>1960</v>
      </c>
      <c r="R77" s="46">
        <v>352</v>
      </c>
      <c r="S77" s="46">
        <v>1893</v>
      </c>
      <c r="T77" s="118">
        <f t="shared" si="114"/>
        <v>10.776818000827928</v>
      </c>
      <c r="U77" s="46"/>
      <c r="V77" s="46"/>
      <c r="W77" s="46"/>
      <c r="X77" s="120"/>
      <c r="Y77" s="61">
        <v>1893</v>
      </c>
      <c r="Z77" s="12">
        <f>R77+V77-U77</f>
        <v>352</v>
      </c>
      <c r="AA77" s="46"/>
      <c r="AB77" s="46"/>
      <c r="AC77" s="118"/>
      <c r="AD77" s="53">
        <v>1598</v>
      </c>
      <c r="AE77" s="3">
        <f>9*(POWER(10,-5))*2</f>
        <v>1.8000000000000001E-4</v>
      </c>
      <c r="AF77" s="51">
        <f>G77-S77</f>
        <v>532</v>
      </c>
      <c r="AG77" s="119">
        <f t="shared" si="82"/>
        <v>18.413433322801865</v>
      </c>
      <c r="AH77" s="122">
        <f t="shared" si="83"/>
        <v>20.465283698102319</v>
      </c>
      <c r="AI77" s="54"/>
      <c r="AJ77" s="4"/>
      <c r="AK77" s="4"/>
      <c r="AL77" s="75"/>
      <c r="AM77" s="75"/>
      <c r="AN77" s="55"/>
      <c r="AO77" s="46"/>
      <c r="AP77" s="53">
        <v>7</v>
      </c>
      <c r="AQ77" s="71">
        <f t="shared" si="84"/>
        <v>3</v>
      </c>
      <c r="AR77" s="45"/>
      <c r="AS77" s="45"/>
      <c r="AT77" s="16">
        <f t="shared" si="85"/>
        <v>20.465283698102319</v>
      </c>
      <c r="AU77" s="16">
        <f t="shared" si="86"/>
        <v>18.413433322801865</v>
      </c>
      <c r="AV77" s="18">
        <f t="shared" si="87"/>
        <v>2.0518503753004538</v>
      </c>
      <c r="AW77" s="45"/>
      <c r="AX77" s="16">
        <f t="shared" si="88"/>
        <v>21.370268447538784</v>
      </c>
      <c r="AY77" s="16">
        <f t="shared" si="89"/>
        <v>-2.9568351247369193</v>
      </c>
      <c r="AZ77" s="45"/>
      <c r="BA77" s="17">
        <f t="shared" si="90"/>
        <v>465</v>
      </c>
      <c r="BB77" s="17">
        <f t="shared" si="91"/>
        <v>1246</v>
      </c>
      <c r="BC77" s="3" t="str">
        <f t="shared" si="92"/>
        <v>35-40</v>
      </c>
      <c r="BD77" s="5" t="str">
        <f t="shared" si="93"/>
        <v>&lt;2EXP-4</v>
      </c>
      <c r="BE77" s="5" t="str">
        <f t="shared" si="94"/>
        <v>300-600</v>
      </c>
      <c r="BF77" s="5" t="str">
        <f t="shared" si="95"/>
        <v>1500-2000</v>
      </c>
      <c r="BG77" s="5" t="str">
        <f t="shared" si="96"/>
        <v>SE</v>
      </c>
      <c r="BH77" s="5" t="str">
        <f t="shared" si="97"/>
        <v>20-40</v>
      </c>
      <c r="BI77" s="5" t="str">
        <f t="shared" si="98"/>
        <v>38-40</v>
      </c>
      <c r="BJ77" s="45"/>
      <c r="BK77" s="5">
        <f t="shared" si="99"/>
        <v>1</v>
      </c>
      <c r="BL77" s="5">
        <f t="shared" si="100"/>
        <v>0</v>
      </c>
      <c r="BM77" s="5">
        <f t="shared" si="101"/>
        <v>0</v>
      </c>
      <c r="BN77" s="5">
        <f t="shared" si="102"/>
        <v>1</v>
      </c>
      <c r="BO77" s="5">
        <f t="shared" si="103"/>
        <v>0</v>
      </c>
      <c r="BP77" s="5">
        <f t="shared" si="104"/>
        <v>1</v>
      </c>
      <c r="BQ77" s="5">
        <f t="shared" si="105"/>
        <v>0</v>
      </c>
      <c r="BR77" s="5">
        <f t="shared" si="106"/>
        <v>1</v>
      </c>
      <c r="BS77" s="5">
        <f t="shared" si="107"/>
        <v>0</v>
      </c>
      <c r="BT77" s="45"/>
      <c r="BU77" s="18">
        <f t="shared" si="108"/>
        <v>21.499618954503315</v>
      </c>
      <c r="BV77" s="18">
        <f t="shared" si="109"/>
        <v>-3.0861856317014507</v>
      </c>
      <c r="BW77" s="18">
        <f t="shared" si="110"/>
        <v>-4.7161856317014506</v>
      </c>
      <c r="BX77" s="18">
        <f t="shared" si="111"/>
        <v>-1.4561856317014508</v>
      </c>
      <c r="BY77" s="5">
        <f t="shared" si="112"/>
        <v>0</v>
      </c>
      <c r="BZ77" s="45"/>
      <c r="CA77" s="45"/>
      <c r="CB77" s="18"/>
      <c r="CC77" s="18" t="str">
        <f>IF($BG77=CC$1,$AI77," ")</f>
        <v xml:space="preserve"> </v>
      </c>
    </row>
    <row r="78" spans="1:81" s="47" customFormat="1" ht="9" customHeight="1" x14ac:dyDescent="0.15">
      <c r="A78" s="43" t="s">
        <v>119</v>
      </c>
      <c r="B78" s="44" t="s">
        <v>120</v>
      </c>
      <c r="C78" s="43" t="s">
        <v>121</v>
      </c>
      <c r="D78" s="48">
        <v>2</v>
      </c>
      <c r="E78" s="49">
        <v>175</v>
      </c>
      <c r="F78" s="8">
        <f t="shared" si="77"/>
        <v>5</v>
      </c>
      <c r="G78" s="45">
        <v>2440</v>
      </c>
      <c r="H78" s="49">
        <v>2350</v>
      </c>
      <c r="I78" s="49">
        <v>261</v>
      </c>
      <c r="J78" s="45">
        <v>186</v>
      </c>
      <c r="K78" s="85">
        <f t="shared" si="78"/>
        <v>28.264004148523931</v>
      </c>
      <c r="L78" s="11">
        <f t="shared" si="79"/>
        <v>2.3490000000000002</v>
      </c>
      <c r="M78" s="10">
        <f t="shared" si="80"/>
        <v>2</v>
      </c>
      <c r="N78" s="4">
        <v>1139</v>
      </c>
      <c r="O78" s="90">
        <f t="shared" si="81"/>
        <v>73.200514138817482</v>
      </c>
      <c r="P78" s="46">
        <v>1</v>
      </c>
      <c r="Q78" s="46">
        <v>1865</v>
      </c>
      <c r="R78" s="46">
        <v>263</v>
      </c>
      <c r="S78" s="46">
        <v>1820</v>
      </c>
      <c r="T78" s="85">
        <f t="shared" si="114"/>
        <v>9.7094374080986636</v>
      </c>
      <c r="U78" s="46"/>
      <c r="V78" s="46"/>
      <c r="W78" s="46"/>
      <c r="X78" s="10"/>
      <c r="Y78" s="52">
        <v>1820</v>
      </c>
      <c r="Z78" s="51">
        <v>263</v>
      </c>
      <c r="AA78" s="46"/>
      <c r="AB78" s="46"/>
      <c r="AC78" s="85">
        <v>9.7094374080986636</v>
      </c>
      <c r="AD78" s="53">
        <v>1556</v>
      </c>
      <c r="AE78" s="65">
        <f>0.0002*2</f>
        <v>4.0000000000000002E-4</v>
      </c>
      <c r="AF78" s="51">
        <v>620</v>
      </c>
      <c r="AG78" s="11">
        <f t="shared" si="82"/>
        <v>21.725184547490883</v>
      </c>
      <c r="AH78" s="50">
        <f t="shared" si="83"/>
        <v>23.974822140674508</v>
      </c>
      <c r="AI78" s="54"/>
      <c r="AJ78" s="4"/>
      <c r="AK78" s="4"/>
      <c r="AL78" s="75"/>
      <c r="AM78" s="75"/>
      <c r="AN78" s="55"/>
      <c r="AO78" s="46">
        <v>4</v>
      </c>
      <c r="AP78" s="53">
        <v>7</v>
      </c>
      <c r="AQ78" s="71">
        <f t="shared" si="84"/>
        <v>3</v>
      </c>
      <c r="AT78" s="18">
        <f t="shared" si="85"/>
        <v>23.974822140674508</v>
      </c>
      <c r="AU78" s="18">
        <f t="shared" si="86"/>
        <v>21.725184547490883</v>
      </c>
      <c r="AV78" s="18">
        <f t="shared" si="87"/>
        <v>2.2496375931836248</v>
      </c>
      <c r="AX78" s="18">
        <f t="shared" si="88"/>
        <v>23.464613048319368</v>
      </c>
      <c r="AY78" s="18">
        <f t="shared" si="89"/>
        <v>-1.7394285008284847</v>
      </c>
      <c r="BA78" s="17">
        <f t="shared" si="90"/>
        <v>575</v>
      </c>
      <c r="BB78" s="17">
        <f t="shared" si="91"/>
        <v>1293</v>
      </c>
      <c r="BC78" s="5" t="str">
        <f t="shared" si="92"/>
        <v>25-30</v>
      </c>
      <c r="BD78" s="5" t="str">
        <f t="shared" si="93"/>
        <v>4EXP-4-6EXP-4</v>
      </c>
      <c r="BE78" s="5" t="str">
        <f t="shared" si="94"/>
        <v>300-600</v>
      </c>
      <c r="BF78" s="5" t="str">
        <f t="shared" si="95"/>
        <v>1500-2000</v>
      </c>
      <c r="BG78" s="5" t="str">
        <f t="shared" si="96"/>
        <v>SE</v>
      </c>
      <c r="BH78" s="5" t="str">
        <f t="shared" si="97"/>
        <v>60-80</v>
      </c>
      <c r="BI78" s="5" t="str">
        <f t="shared" si="98"/>
        <v>25-30</v>
      </c>
      <c r="BK78" s="5">
        <f t="shared" si="99"/>
        <v>0</v>
      </c>
      <c r="BL78" s="5">
        <f t="shared" si="100"/>
        <v>0</v>
      </c>
      <c r="BM78" s="5">
        <f t="shared" si="101"/>
        <v>0</v>
      </c>
      <c r="BN78" s="5">
        <f t="shared" si="102"/>
        <v>1</v>
      </c>
      <c r="BO78" s="5">
        <f t="shared" si="103"/>
        <v>0</v>
      </c>
      <c r="BP78" s="5">
        <f t="shared" si="104"/>
        <v>1</v>
      </c>
      <c r="BQ78" s="5">
        <f t="shared" si="105"/>
        <v>0</v>
      </c>
      <c r="BR78" s="5">
        <f t="shared" si="106"/>
        <v>0</v>
      </c>
      <c r="BS78" s="5">
        <f t="shared" si="107"/>
        <v>0</v>
      </c>
      <c r="BU78" s="18">
        <f t="shared" si="108"/>
        <v>22.589135829169368</v>
      </c>
      <c r="BV78" s="18">
        <f t="shared" si="109"/>
        <v>-0.86395128167848512</v>
      </c>
      <c r="BW78" s="18">
        <f t="shared" si="110"/>
        <v>-2.493951281678485</v>
      </c>
      <c r="BX78" s="18">
        <f t="shared" si="111"/>
        <v>0.76604871832151478</v>
      </c>
      <c r="BY78" s="5" t="str">
        <f t="shared" si="112"/>
        <v/>
      </c>
      <c r="CB78" s="18"/>
      <c r="CC78" s="18"/>
    </row>
    <row r="79" spans="1:81" s="47" customFormat="1" ht="9" customHeight="1" x14ac:dyDescent="0.15">
      <c r="A79" s="43" t="s">
        <v>245</v>
      </c>
      <c r="B79" s="44" t="str">
        <f>MID(A79,1,6)</f>
        <v>TER190</v>
      </c>
      <c r="C79" s="43" t="s">
        <v>246</v>
      </c>
      <c r="D79" s="48">
        <v>2</v>
      </c>
      <c r="E79" s="49">
        <v>50</v>
      </c>
      <c r="F79" s="8">
        <f t="shared" si="77"/>
        <v>2</v>
      </c>
      <c r="G79" s="45">
        <v>2415</v>
      </c>
      <c r="H79" s="49">
        <v>2250</v>
      </c>
      <c r="I79" s="49">
        <v>238</v>
      </c>
      <c r="J79" s="45">
        <v>150</v>
      </c>
      <c r="K79" s="85">
        <f t="shared" si="78"/>
        <v>33.690067525979785</v>
      </c>
      <c r="L79" s="11">
        <f t="shared" si="79"/>
        <v>3.927</v>
      </c>
      <c r="M79" s="10">
        <f t="shared" si="80"/>
        <v>3</v>
      </c>
      <c r="N79" s="4">
        <v>1079</v>
      </c>
      <c r="O79" s="90">
        <f t="shared" si="81"/>
        <v>64.649490713001796</v>
      </c>
      <c r="P79" s="46">
        <v>1</v>
      </c>
      <c r="Q79" s="46">
        <v>1605</v>
      </c>
      <c r="R79" s="46">
        <v>173</v>
      </c>
      <c r="S79" s="46">
        <v>1585</v>
      </c>
      <c r="T79" s="85">
        <f t="shared" si="114"/>
        <v>6.5945150322279877</v>
      </c>
      <c r="U79" s="59"/>
      <c r="V79" s="59"/>
      <c r="W79" s="59"/>
      <c r="X79" s="10"/>
      <c r="Y79" s="52">
        <v>1585</v>
      </c>
      <c r="Z79" s="51">
        <f>R79+V79-U79</f>
        <v>173</v>
      </c>
      <c r="AA79" s="46"/>
      <c r="AB79" s="46"/>
      <c r="AC79" s="85">
        <f>T79</f>
        <v>6.5945150322279877</v>
      </c>
      <c r="AD79" s="53">
        <v>1669</v>
      </c>
      <c r="AE79" s="65">
        <f>0.0002*2</f>
        <v>4.0000000000000002E-4</v>
      </c>
      <c r="AF79" s="51">
        <f>G79-S79</f>
        <v>830</v>
      </c>
      <c r="AG79" s="11">
        <f t="shared" si="82"/>
        <v>26.441332075788303</v>
      </c>
      <c r="AH79" s="50">
        <f t="shared" si="83"/>
        <v>28.433057275102691</v>
      </c>
      <c r="AI79" s="54"/>
      <c r="AJ79" s="4"/>
      <c r="AK79" s="4"/>
      <c r="AL79" s="75"/>
      <c r="AM79" s="75"/>
      <c r="AN79" s="55"/>
      <c r="AO79" s="46">
        <v>4</v>
      </c>
      <c r="AP79" s="53">
        <v>7</v>
      </c>
      <c r="AQ79" s="71">
        <f t="shared" si="84"/>
        <v>3</v>
      </c>
      <c r="AT79" s="18">
        <f t="shared" si="85"/>
        <v>28.433057275102691</v>
      </c>
      <c r="AU79" s="18">
        <f t="shared" si="86"/>
        <v>26.441332075788303</v>
      </c>
      <c r="AV79" s="18">
        <f t="shared" si="87"/>
        <v>1.9917251993143879</v>
      </c>
      <c r="AX79" s="18">
        <f t="shared" si="88"/>
        <v>26.134454101829071</v>
      </c>
      <c r="AY79" s="18">
        <f t="shared" si="89"/>
        <v>0.30687797395923155</v>
      </c>
      <c r="BA79" s="17">
        <f t="shared" si="90"/>
        <v>810</v>
      </c>
      <c r="BB79" s="17">
        <f t="shared" si="91"/>
        <v>1496</v>
      </c>
      <c r="BC79" s="5" t="str">
        <f t="shared" si="92"/>
        <v>30-35</v>
      </c>
      <c r="BD79" s="5" t="str">
        <f t="shared" si="93"/>
        <v>4EXP-4-6EXP-4</v>
      </c>
      <c r="BE79" s="5" t="str">
        <f t="shared" si="94"/>
        <v>600-900</v>
      </c>
      <c r="BF79" s="5" t="str">
        <f t="shared" si="95"/>
        <v>1500-2000</v>
      </c>
      <c r="BG79" s="5" t="str">
        <f t="shared" si="96"/>
        <v>SE</v>
      </c>
      <c r="BH79" s="5" t="str">
        <f t="shared" si="97"/>
        <v>60-80</v>
      </c>
      <c r="BI79" s="5" t="str">
        <f t="shared" si="98"/>
        <v>32-34</v>
      </c>
      <c r="BK79" s="5">
        <f t="shared" si="99"/>
        <v>1</v>
      </c>
      <c r="BL79" s="5">
        <f t="shared" si="100"/>
        <v>0</v>
      </c>
      <c r="BM79" s="5">
        <f t="shared" si="101"/>
        <v>1</v>
      </c>
      <c r="BN79" s="5">
        <f t="shared" si="102"/>
        <v>1</v>
      </c>
      <c r="BO79" s="5">
        <f t="shared" si="103"/>
        <v>0</v>
      </c>
      <c r="BP79" s="5">
        <f t="shared" si="104"/>
        <v>0</v>
      </c>
      <c r="BQ79" s="5">
        <f t="shared" si="105"/>
        <v>0</v>
      </c>
      <c r="BR79" s="5">
        <f t="shared" si="106"/>
        <v>0</v>
      </c>
      <c r="BS79" s="5">
        <f t="shared" si="107"/>
        <v>0</v>
      </c>
      <c r="BU79" s="18">
        <f t="shared" si="108"/>
        <v>26.166175214576533</v>
      </c>
      <c r="BV79" s="18">
        <f t="shared" si="109"/>
        <v>0.27515686121176941</v>
      </c>
      <c r="BW79" s="18">
        <f t="shared" si="110"/>
        <v>-1.3548431387882305</v>
      </c>
      <c r="BX79" s="18">
        <f t="shared" si="111"/>
        <v>1.9051568612117693</v>
      </c>
      <c r="BY79" s="5" t="str">
        <f t="shared" si="112"/>
        <v/>
      </c>
      <c r="CB79" s="18"/>
      <c r="CC79" s="18"/>
    </row>
    <row r="80" spans="1:81" s="47" customFormat="1" ht="9" customHeight="1" x14ac:dyDescent="0.15">
      <c r="A80" s="43" t="s">
        <v>122</v>
      </c>
      <c r="B80" s="44" t="s">
        <v>123</v>
      </c>
      <c r="C80" s="43" t="s">
        <v>124</v>
      </c>
      <c r="D80" s="48">
        <v>5</v>
      </c>
      <c r="E80" s="49">
        <v>50</v>
      </c>
      <c r="F80" s="8">
        <f t="shared" si="77"/>
        <v>2</v>
      </c>
      <c r="G80" s="45">
        <v>2690</v>
      </c>
      <c r="H80" s="49">
        <v>2450</v>
      </c>
      <c r="I80" s="49">
        <v>272</v>
      </c>
      <c r="J80" s="45">
        <v>150</v>
      </c>
      <c r="K80" s="85">
        <f t="shared" si="78"/>
        <v>33.690067525979785</v>
      </c>
      <c r="L80" s="11">
        <f t="shared" si="79"/>
        <v>6.5279999999999996</v>
      </c>
      <c r="M80" s="10">
        <f t="shared" si="80"/>
        <v>4</v>
      </c>
      <c r="N80" s="4">
        <v>812</v>
      </c>
      <c r="O80" s="90">
        <f t="shared" si="81"/>
        <v>27.741715066621115</v>
      </c>
      <c r="P80" s="46">
        <v>1</v>
      </c>
      <c r="Q80" s="46">
        <v>1620</v>
      </c>
      <c r="R80" s="46">
        <v>97</v>
      </c>
      <c r="S80" s="46">
        <v>1605</v>
      </c>
      <c r="T80" s="85">
        <f t="shared" si="114"/>
        <v>8.7905431828139466</v>
      </c>
      <c r="U80" s="46"/>
      <c r="V80" s="46"/>
      <c r="W80" s="46"/>
      <c r="X80" s="10"/>
      <c r="Y80" s="52">
        <v>1605</v>
      </c>
      <c r="Z80" s="51">
        <v>97</v>
      </c>
      <c r="AA80" s="46"/>
      <c r="AB80" s="46"/>
      <c r="AC80" s="85">
        <v>8.7905431828139466</v>
      </c>
      <c r="AD80" s="45">
        <v>2927</v>
      </c>
      <c r="AE80" s="65">
        <f>0.00008*2</f>
        <v>1.6000000000000001E-4</v>
      </c>
      <c r="AF80" s="51">
        <v>1085</v>
      </c>
      <c r="AG80" s="11">
        <f t="shared" si="82"/>
        <v>20.339073749865506</v>
      </c>
      <c r="AH80" s="50">
        <f t="shared" si="83"/>
        <v>20.711197821618718</v>
      </c>
      <c r="AI80" s="55"/>
      <c r="AJ80" s="4"/>
      <c r="AK80" s="4"/>
      <c r="AL80" s="75"/>
      <c r="AM80" s="75"/>
      <c r="AN80" s="55"/>
      <c r="AO80" s="46">
        <v>4</v>
      </c>
      <c r="AP80" s="53">
        <v>2</v>
      </c>
      <c r="AQ80" s="71">
        <f t="shared" si="84"/>
        <v>1</v>
      </c>
      <c r="AT80" s="18">
        <f t="shared" si="85"/>
        <v>20.711197821618718</v>
      </c>
      <c r="AU80" s="18">
        <f t="shared" si="86"/>
        <v>20.339073749865506</v>
      </c>
      <c r="AV80" s="18">
        <f t="shared" si="87"/>
        <v>0.3721240717532126</v>
      </c>
      <c r="AX80" s="18">
        <f t="shared" si="88"/>
        <v>18.280622322646416</v>
      </c>
      <c r="AY80" s="18">
        <f t="shared" si="89"/>
        <v>2.0584514272190901</v>
      </c>
      <c r="BA80" s="17">
        <f t="shared" si="90"/>
        <v>1070</v>
      </c>
      <c r="BB80" s="17">
        <f t="shared" si="91"/>
        <v>2830</v>
      </c>
      <c r="BC80" s="5" t="str">
        <f t="shared" si="92"/>
        <v>30-35</v>
      </c>
      <c r="BD80" s="5" t="str">
        <f t="shared" si="93"/>
        <v>&lt;2EXP-4</v>
      </c>
      <c r="BE80" s="5" t="str">
        <f t="shared" si="94"/>
        <v>900-1200</v>
      </c>
      <c r="BF80" s="5" t="str">
        <f t="shared" si="95"/>
        <v>&gt;2500</v>
      </c>
      <c r="BG80" s="5" t="str">
        <f t="shared" si="96"/>
        <v>SE</v>
      </c>
      <c r="BH80" s="5" t="str">
        <f t="shared" si="97"/>
        <v>20-40</v>
      </c>
      <c r="BI80" s="5" t="str">
        <f t="shared" si="98"/>
        <v>32-34</v>
      </c>
      <c r="BK80" s="5">
        <f t="shared" si="99"/>
        <v>1</v>
      </c>
      <c r="BL80" s="5">
        <f t="shared" si="100"/>
        <v>0</v>
      </c>
      <c r="BM80" s="5">
        <f t="shared" si="101"/>
        <v>1</v>
      </c>
      <c r="BN80" s="5">
        <f t="shared" si="102"/>
        <v>0</v>
      </c>
      <c r="BO80" s="5">
        <f t="shared" si="103"/>
        <v>0</v>
      </c>
      <c r="BP80" s="5">
        <f t="shared" si="104"/>
        <v>0</v>
      </c>
      <c r="BQ80" s="5">
        <f t="shared" si="105"/>
        <v>0</v>
      </c>
      <c r="BR80" s="5">
        <f t="shared" si="106"/>
        <v>1</v>
      </c>
      <c r="BS80" s="5">
        <f t="shared" si="107"/>
        <v>0</v>
      </c>
      <c r="BU80" s="18">
        <f t="shared" si="108"/>
        <v>19.7978522968005</v>
      </c>
      <c r="BV80" s="18">
        <f t="shared" si="109"/>
        <v>0.54122145306500613</v>
      </c>
      <c r="BW80" s="18">
        <f t="shared" si="110"/>
        <v>-1.0887785469349938</v>
      </c>
      <c r="BX80" s="18">
        <f t="shared" si="111"/>
        <v>2.171221453065006</v>
      </c>
      <c r="BY80" s="5" t="str">
        <f t="shared" si="112"/>
        <v/>
      </c>
      <c r="CB80" s="18"/>
      <c r="CC80" s="18"/>
    </row>
    <row r="81" spans="1:81" s="47" customFormat="1" ht="9" customHeight="1" x14ac:dyDescent="0.15">
      <c r="A81" s="43" t="s">
        <v>203</v>
      </c>
      <c r="B81" s="44" t="str">
        <f>MID(A81,1,6)</f>
        <v>TOR008</v>
      </c>
      <c r="C81" s="43" t="s">
        <v>204</v>
      </c>
      <c r="D81" s="48">
        <v>2</v>
      </c>
      <c r="E81" s="49">
        <v>340</v>
      </c>
      <c r="F81" s="8">
        <v>1</v>
      </c>
      <c r="G81" s="45">
        <v>2500</v>
      </c>
      <c r="H81" s="49">
        <v>2300</v>
      </c>
      <c r="I81" s="49">
        <v>533</v>
      </c>
      <c r="J81" s="45">
        <v>142</v>
      </c>
      <c r="K81" s="85">
        <f t="shared" si="78"/>
        <v>35.15417763214743</v>
      </c>
      <c r="L81" s="11">
        <f t="shared" si="79"/>
        <v>10.66</v>
      </c>
      <c r="M81" s="10">
        <f t="shared" si="80"/>
        <v>4</v>
      </c>
      <c r="N81" s="4">
        <v>613</v>
      </c>
      <c r="O81" s="90">
        <f t="shared" si="81"/>
        <v>28.327171903881698</v>
      </c>
      <c r="P81" s="46">
        <v>1</v>
      </c>
      <c r="Q81" s="46">
        <v>1410</v>
      </c>
      <c r="R81" s="46">
        <v>135</v>
      </c>
      <c r="S81" s="46">
        <v>1390</v>
      </c>
      <c r="T81" s="85">
        <f t="shared" si="114"/>
        <v>8.426969021480673</v>
      </c>
      <c r="U81" s="46"/>
      <c r="V81" s="46"/>
      <c r="W81" s="46"/>
      <c r="X81" s="10"/>
      <c r="Y81" s="52">
        <f>S81</f>
        <v>1390</v>
      </c>
      <c r="Z81" s="51">
        <f>R81+V81-U81</f>
        <v>135</v>
      </c>
      <c r="AA81" s="46"/>
      <c r="AB81" s="46"/>
      <c r="AC81" s="85">
        <f>T81</f>
        <v>8.426969021480673</v>
      </c>
      <c r="AD81" s="45">
        <v>2164</v>
      </c>
      <c r="AE81" s="65">
        <f>0.0002*2</f>
        <v>4.0000000000000002E-4</v>
      </c>
      <c r="AF81" s="51">
        <f>G81-S81</f>
        <v>1110</v>
      </c>
      <c r="AG81" s="11">
        <f t="shared" si="82"/>
        <v>27.155056738060949</v>
      </c>
      <c r="AH81" s="50">
        <f t="shared" si="83"/>
        <v>28.245156620817109</v>
      </c>
      <c r="AI81" s="55"/>
      <c r="AJ81" s="4"/>
      <c r="AK81" s="4"/>
      <c r="AL81" s="75"/>
      <c r="AM81" s="75"/>
      <c r="AN81" s="55"/>
      <c r="AO81" s="46">
        <v>4</v>
      </c>
      <c r="AP81" s="53">
        <v>1</v>
      </c>
      <c r="AQ81" s="71">
        <f t="shared" si="84"/>
        <v>1</v>
      </c>
      <c r="AT81" s="18">
        <f t="shared" si="85"/>
        <v>28.245156620817109</v>
      </c>
      <c r="AU81" s="18">
        <f t="shared" si="86"/>
        <v>27.155056738060949</v>
      </c>
      <c r="AV81" s="18">
        <f t="shared" si="87"/>
        <v>1.0900998827561601</v>
      </c>
      <c r="AX81" s="18">
        <f t="shared" si="88"/>
        <v>24.844770598029172</v>
      </c>
      <c r="AY81" s="18">
        <f t="shared" si="89"/>
        <v>2.3102861400317778</v>
      </c>
      <c r="BA81" s="17">
        <f t="shared" si="90"/>
        <v>1090</v>
      </c>
      <c r="BB81" s="17">
        <f t="shared" si="91"/>
        <v>2029</v>
      </c>
      <c r="BC81" s="5" t="str">
        <f t="shared" si="92"/>
        <v>35-40</v>
      </c>
      <c r="BD81" s="5" t="str">
        <f t="shared" si="93"/>
        <v>4EXP-4-6EXP-4</v>
      </c>
      <c r="BE81" s="5" t="str">
        <f t="shared" si="94"/>
        <v>900-1200</v>
      </c>
      <c r="BF81" s="5" t="str">
        <f t="shared" si="95"/>
        <v>2000-2500</v>
      </c>
      <c r="BG81" s="5" t="str">
        <f t="shared" si="96"/>
        <v>NW</v>
      </c>
      <c r="BH81" s="5" t="str">
        <f t="shared" si="97"/>
        <v>20-40</v>
      </c>
      <c r="BI81" s="5" t="str">
        <f t="shared" si="98"/>
        <v>34-36</v>
      </c>
      <c r="BK81" s="5">
        <f t="shared" si="99"/>
        <v>1</v>
      </c>
      <c r="BL81" s="5">
        <f t="shared" si="100"/>
        <v>0</v>
      </c>
      <c r="BM81" s="5">
        <f t="shared" si="101"/>
        <v>1</v>
      </c>
      <c r="BN81" s="5">
        <f t="shared" si="102"/>
        <v>1</v>
      </c>
      <c r="BO81" s="5">
        <f t="shared" si="103"/>
        <v>0</v>
      </c>
      <c r="BP81" s="5">
        <f t="shared" si="104"/>
        <v>0</v>
      </c>
      <c r="BQ81" s="5">
        <f t="shared" si="105"/>
        <v>1</v>
      </c>
      <c r="BR81" s="5">
        <f t="shared" si="106"/>
        <v>1</v>
      </c>
      <c r="BS81" s="5">
        <f t="shared" si="107"/>
        <v>0</v>
      </c>
      <c r="BU81" s="18">
        <f t="shared" si="108"/>
        <v>25.201016126441171</v>
      </c>
      <c r="BV81" s="18">
        <f t="shared" si="109"/>
        <v>1.9540406116197779</v>
      </c>
      <c r="BW81" s="18">
        <f t="shared" si="110"/>
        <v>0.32404061161977804</v>
      </c>
      <c r="BX81" s="18">
        <f t="shared" si="111"/>
        <v>3.5840406116197778</v>
      </c>
      <c r="BY81" s="5">
        <f t="shared" si="112"/>
        <v>1</v>
      </c>
      <c r="CB81" s="18"/>
      <c r="CC81" s="18"/>
    </row>
    <row r="82" spans="1:81" s="47" customFormat="1" ht="9" customHeight="1" x14ac:dyDescent="0.15">
      <c r="A82" s="43" t="s">
        <v>125</v>
      </c>
      <c r="B82" s="44" t="s">
        <v>126</v>
      </c>
      <c r="C82" s="43" t="s">
        <v>127</v>
      </c>
      <c r="D82" s="48">
        <v>2</v>
      </c>
      <c r="E82" s="49">
        <v>182</v>
      </c>
      <c r="F82" s="8">
        <f t="shared" ref="F82:F90" si="115">IF(E82&lt;22.5,1,IF(E82&lt;67.5,2,IF(E82&lt;112.5,3,IF(E82&lt;157.5,4,IF(E82&lt;202.5,5,IF(E82&lt;247.5,6,IF(E82&lt;292.5,7,IF(E82&lt;337.5,8,"1"))))))))</f>
        <v>5</v>
      </c>
      <c r="G82" s="45">
        <v>2075</v>
      </c>
      <c r="H82" s="49">
        <v>1800</v>
      </c>
      <c r="I82" s="49">
        <v>239</v>
      </c>
      <c r="J82" s="45">
        <v>129</v>
      </c>
      <c r="K82" s="85">
        <f t="shared" si="78"/>
        <v>37.782620840970786</v>
      </c>
      <c r="L82" s="11">
        <f t="shared" si="79"/>
        <v>6.5724999999999998</v>
      </c>
      <c r="M82" s="10">
        <f t="shared" si="80"/>
        <v>4</v>
      </c>
      <c r="N82" s="4">
        <v>583</v>
      </c>
      <c r="O82" s="90">
        <f t="shared" si="81"/>
        <v>38.944555778223112</v>
      </c>
      <c r="P82" s="46">
        <v>1</v>
      </c>
      <c r="Q82" s="46">
        <v>1415</v>
      </c>
      <c r="R82" s="46">
        <v>321</v>
      </c>
      <c r="S82" s="46">
        <v>1365</v>
      </c>
      <c r="T82" s="85">
        <f t="shared" si="114"/>
        <v>8.8534324943710221</v>
      </c>
      <c r="U82" s="46"/>
      <c r="V82" s="46"/>
      <c r="W82" s="46"/>
      <c r="X82" s="10"/>
      <c r="Y82" s="52">
        <v>1365</v>
      </c>
      <c r="Z82" s="51">
        <v>321</v>
      </c>
      <c r="AA82" s="46"/>
      <c r="AB82" s="46"/>
      <c r="AC82" s="85">
        <v>8.8534324943710221</v>
      </c>
      <c r="AD82" s="53">
        <v>1497</v>
      </c>
      <c r="AE82" s="65">
        <f>0.0002*2</f>
        <v>4.0000000000000002E-4</v>
      </c>
      <c r="AF82" s="51">
        <v>710</v>
      </c>
      <c r="AG82" s="11">
        <f t="shared" si="82"/>
        <v>25.374138740855461</v>
      </c>
      <c r="AH82" s="50">
        <f t="shared" si="83"/>
        <v>29.30220748213867</v>
      </c>
      <c r="AI82" s="55"/>
      <c r="AJ82" s="4"/>
      <c r="AK82" s="4"/>
      <c r="AL82" s="75"/>
      <c r="AM82" s="75"/>
      <c r="AN82" s="55"/>
      <c r="AO82" s="110">
        <v>4</v>
      </c>
      <c r="AP82" s="53">
        <v>1</v>
      </c>
      <c r="AQ82" s="71">
        <f t="shared" si="84"/>
        <v>1</v>
      </c>
      <c r="AT82" s="18">
        <f t="shared" si="85"/>
        <v>29.30220748213867</v>
      </c>
      <c r="AU82" s="18">
        <f t="shared" si="86"/>
        <v>25.374138740855461</v>
      </c>
      <c r="AV82" s="18">
        <f t="shared" si="87"/>
        <v>3.9280687412832087</v>
      </c>
      <c r="AX82" s="18">
        <f t="shared" si="88"/>
        <v>26.325699761246774</v>
      </c>
      <c r="AY82" s="18">
        <f t="shared" si="89"/>
        <v>-0.95156102039131341</v>
      </c>
      <c r="BA82" s="17">
        <f t="shared" si="90"/>
        <v>660</v>
      </c>
      <c r="BB82" s="17">
        <f t="shared" si="91"/>
        <v>1176</v>
      </c>
      <c r="BC82" s="5" t="str">
        <f t="shared" si="92"/>
        <v>35-40</v>
      </c>
      <c r="BD82" s="5" t="str">
        <f t="shared" si="93"/>
        <v>4EXP-4-6EXP-4</v>
      </c>
      <c r="BE82" s="5" t="str">
        <f t="shared" si="94"/>
        <v>600-900</v>
      </c>
      <c r="BF82" s="5" t="str">
        <f t="shared" si="95"/>
        <v>1000-1500</v>
      </c>
      <c r="BG82" s="5" t="str">
        <f t="shared" si="96"/>
        <v>SE</v>
      </c>
      <c r="BH82" s="5" t="str">
        <f t="shared" si="97"/>
        <v>20-40</v>
      </c>
      <c r="BI82" s="5" t="str">
        <f t="shared" si="98"/>
        <v>36-38</v>
      </c>
      <c r="BK82" s="5">
        <f t="shared" si="99"/>
        <v>1</v>
      </c>
      <c r="BL82" s="5">
        <f t="shared" si="100"/>
        <v>0</v>
      </c>
      <c r="BM82" s="5">
        <f t="shared" si="101"/>
        <v>1</v>
      </c>
      <c r="BN82" s="5">
        <f t="shared" si="102"/>
        <v>1</v>
      </c>
      <c r="BO82" s="5">
        <f t="shared" si="103"/>
        <v>0</v>
      </c>
      <c r="BP82" s="5">
        <f t="shared" si="104"/>
        <v>0</v>
      </c>
      <c r="BQ82" s="5">
        <f t="shared" si="105"/>
        <v>0</v>
      </c>
      <c r="BR82" s="5">
        <f t="shared" si="106"/>
        <v>1</v>
      </c>
      <c r="BS82" s="5">
        <f t="shared" si="107"/>
        <v>0</v>
      </c>
      <c r="BU82" s="18">
        <f t="shared" si="108"/>
        <v>25.952642313786686</v>
      </c>
      <c r="BV82" s="18">
        <f t="shared" si="109"/>
        <v>-0.57850357293122556</v>
      </c>
      <c r="BW82" s="18">
        <f t="shared" si="110"/>
        <v>-2.2085035729312255</v>
      </c>
      <c r="BX82" s="18">
        <f t="shared" si="111"/>
        <v>1.0514964270687743</v>
      </c>
      <c r="BY82" s="5" t="str">
        <f t="shared" si="112"/>
        <v/>
      </c>
      <c r="CB82" s="18"/>
      <c r="CC82" s="18"/>
    </row>
    <row r="83" spans="1:81" s="47" customFormat="1" ht="9" customHeight="1" x14ac:dyDescent="0.15">
      <c r="A83" s="43" t="s">
        <v>128</v>
      </c>
      <c r="B83" s="44" t="s">
        <v>129</v>
      </c>
      <c r="C83" s="43" t="s">
        <v>130</v>
      </c>
      <c r="D83" s="48">
        <v>2</v>
      </c>
      <c r="E83" s="49">
        <v>195</v>
      </c>
      <c r="F83" s="8">
        <f t="shared" si="115"/>
        <v>5</v>
      </c>
      <c r="G83" s="45">
        <v>2550</v>
      </c>
      <c r="H83" s="49">
        <v>2200</v>
      </c>
      <c r="I83" s="49">
        <v>184</v>
      </c>
      <c r="J83" s="45">
        <v>143</v>
      </c>
      <c r="K83" s="85">
        <f t="shared" si="78"/>
        <v>34.965120773533563</v>
      </c>
      <c r="L83" s="11">
        <f t="shared" si="79"/>
        <v>6.44</v>
      </c>
      <c r="M83" s="10">
        <f t="shared" si="80"/>
        <v>4</v>
      </c>
      <c r="N83" s="4">
        <v>1131</v>
      </c>
      <c r="O83" s="90">
        <f t="shared" si="81"/>
        <v>49.823788546255507</v>
      </c>
      <c r="P83" s="46">
        <v>1</v>
      </c>
      <c r="Q83" s="46">
        <v>1260</v>
      </c>
      <c r="R83" s="46"/>
      <c r="S83" s="46">
        <v>1261</v>
      </c>
      <c r="T83" s="85"/>
      <c r="U83" s="46">
        <v>6</v>
      </c>
      <c r="V83" s="46"/>
      <c r="W83" s="46"/>
      <c r="X83" s="10"/>
      <c r="Y83" s="52">
        <v>1261</v>
      </c>
      <c r="Z83" s="51">
        <v>-6</v>
      </c>
      <c r="AA83" s="46">
        <v>155</v>
      </c>
      <c r="AB83" s="46">
        <v>40</v>
      </c>
      <c r="AC83" s="85">
        <v>14.470294100065887</v>
      </c>
      <c r="AD83" s="45">
        <v>2270</v>
      </c>
      <c r="AE83" s="65">
        <f>0.00007*2</f>
        <v>1.3999999999999999E-4</v>
      </c>
      <c r="AF83" s="51">
        <v>1289</v>
      </c>
      <c r="AG83" s="11">
        <f t="shared" si="82"/>
        <v>29.589704472507076</v>
      </c>
      <c r="AH83" s="50">
        <f t="shared" si="83"/>
        <v>29.543863361818413</v>
      </c>
      <c r="AI83" s="55"/>
      <c r="AJ83" s="4"/>
      <c r="AK83" s="4"/>
      <c r="AL83" s="75"/>
      <c r="AM83" s="75"/>
      <c r="AN83" s="55"/>
      <c r="AO83" s="110">
        <v>4</v>
      </c>
      <c r="AP83" s="53">
        <v>2</v>
      </c>
      <c r="AQ83" s="71">
        <f t="shared" si="84"/>
        <v>1</v>
      </c>
      <c r="AT83" s="18">
        <f t="shared" si="85"/>
        <v>29.543863361818413</v>
      </c>
      <c r="AU83" s="18">
        <f t="shared" si="86"/>
        <v>29.589704472507076</v>
      </c>
      <c r="AV83" s="18">
        <f t="shared" si="87"/>
        <v>-4.5841110688662923E-2</v>
      </c>
      <c r="AX83" s="18">
        <f t="shared" si="88"/>
        <v>25.738774788600178</v>
      </c>
      <c r="AY83" s="18">
        <f t="shared" si="89"/>
        <v>3.850929683906898</v>
      </c>
      <c r="BA83" s="17">
        <f t="shared" si="90"/>
        <v>1290</v>
      </c>
      <c r="BB83" s="17">
        <f t="shared" si="91"/>
        <v>2276</v>
      </c>
      <c r="BC83" s="5" t="str">
        <f t="shared" si="92"/>
        <v>30-35</v>
      </c>
      <c r="BD83" s="5" t="str">
        <f t="shared" si="93"/>
        <v>&lt;2EXP-4</v>
      </c>
      <c r="BE83" s="5" t="str">
        <f t="shared" si="94"/>
        <v>1200-1500</v>
      </c>
      <c r="BF83" s="5" t="str">
        <f t="shared" si="95"/>
        <v>2000-2500</v>
      </c>
      <c r="BG83" s="5" t="str">
        <f t="shared" si="96"/>
        <v>SE</v>
      </c>
      <c r="BH83" s="5" t="str">
        <f t="shared" si="97"/>
        <v>40-60</v>
      </c>
      <c r="BI83" s="5" t="str">
        <f t="shared" si="98"/>
        <v>34-36</v>
      </c>
      <c r="BK83" s="5">
        <f t="shared" si="99"/>
        <v>1</v>
      </c>
      <c r="BL83" s="5">
        <f t="shared" si="100"/>
        <v>0</v>
      </c>
      <c r="BM83" s="5">
        <f t="shared" si="101"/>
        <v>1</v>
      </c>
      <c r="BN83" s="5">
        <f t="shared" si="102"/>
        <v>1</v>
      </c>
      <c r="BO83" s="5">
        <f t="shared" si="103"/>
        <v>0</v>
      </c>
      <c r="BP83" s="5">
        <f t="shared" si="104"/>
        <v>0</v>
      </c>
      <c r="BQ83" s="5">
        <f t="shared" si="105"/>
        <v>0</v>
      </c>
      <c r="BR83" s="5">
        <f t="shared" si="106"/>
        <v>1</v>
      </c>
      <c r="BS83" s="5">
        <f t="shared" si="107"/>
        <v>0</v>
      </c>
      <c r="BU83" s="18">
        <f t="shared" si="108"/>
        <v>27.299615229440246</v>
      </c>
      <c r="BV83" s="18">
        <f t="shared" si="109"/>
        <v>2.2900892430668307</v>
      </c>
      <c r="BW83" s="18">
        <f t="shared" si="110"/>
        <v>0.66008924306683081</v>
      </c>
      <c r="BX83" s="18">
        <f t="shared" si="111"/>
        <v>3.9200892430668306</v>
      </c>
      <c r="BY83" s="5">
        <f t="shared" si="112"/>
        <v>1</v>
      </c>
      <c r="CB83" s="18"/>
      <c r="CC83" s="18"/>
    </row>
    <row r="84" spans="1:81" s="47" customFormat="1" ht="9" customHeight="1" x14ac:dyDescent="0.15">
      <c r="A84" s="43" t="s">
        <v>131</v>
      </c>
      <c r="B84" s="44" t="s">
        <v>132</v>
      </c>
      <c r="C84" s="43" t="s">
        <v>133</v>
      </c>
      <c r="D84" s="48">
        <v>2</v>
      </c>
      <c r="E84" s="49">
        <v>160</v>
      </c>
      <c r="F84" s="8">
        <f t="shared" si="115"/>
        <v>5</v>
      </c>
      <c r="G84" s="45">
        <v>2275</v>
      </c>
      <c r="H84" s="49">
        <v>2100</v>
      </c>
      <c r="I84" s="49">
        <v>444</v>
      </c>
      <c r="J84" s="45">
        <v>165</v>
      </c>
      <c r="K84" s="85">
        <f t="shared" si="78"/>
        <v>31.218402764346376</v>
      </c>
      <c r="L84" s="11">
        <f t="shared" si="79"/>
        <v>7.77</v>
      </c>
      <c r="M84" s="10">
        <f t="shared" si="80"/>
        <v>4</v>
      </c>
      <c r="N84" s="4">
        <v>1312</v>
      </c>
      <c r="O84" s="90">
        <f t="shared" si="81"/>
        <v>58.913336326897166</v>
      </c>
      <c r="P84" s="46">
        <v>1</v>
      </c>
      <c r="Q84" s="46">
        <v>1385</v>
      </c>
      <c r="R84" s="46">
        <v>187</v>
      </c>
      <c r="S84" s="46">
        <v>1355</v>
      </c>
      <c r="T84" s="85">
        <f t="shared" ref="T84:T89" si="116">DEGREES(ATAN((Q84-S84)/R84))</f>
        <v>9.1141750547912217</v>
      </c>
      <c r="U84" s="46"/>
      <c r="V84" s="46"/>
      <c r="W84" s="46"/>
      <c r="X84" s="10"/>
      <c r="Y84" s="52">
        <v>1355</v>
      </c>
      <c r="Z84" s="51">
        <v>187</v>
      </c>
      <c r="AA84" s="46"/>
      <c r="AB84" s="46"/>
      <c r="AC84" s="85">
        <v>9.1141750547912217</v>
      </c>
      <c r="AD84" s="53">
        <v>2227</v>
      </c>
      <c r="AE84" s="65">
        <f>0.0001*2</f>
        <v>2.0000000000000001E-4</v>
      </c>
      <c r="AF84" s="51">
        <v>920</v>
      </c>
      <c r="AG84" s="11">
        <f t="shared" si="82"/>
        <v>22.446097792973472</v>
      </c>
      <c r="AH84" s="50">
        <f t="shared" si="83"/>
        <v>23.570416311271252</v>
      </c>
      <c r="AI84" s="54"/>
      <c r="AJ84" s="4"/>
      <c r="AK84" s="4"/>
      <c r="AL84" s="75"/>
      <c r="AM84" s="75"/>
      <c r="AN84" s="55" t="s">
        <v>134</v>
      </c>
      <c r="AO84" s="110">
        <v>4</v>
      </c>
      <c r="AP84" s="53">
        <v>2</v>
      </c>
      <c r="AQ84" s="71">
        <f t="shared" si="84"/>
        <v>1</v>
      </c>
      <c r="AT84" s="18">
        <f t="shared" si="85"/>
        <v>23.570416311271252</v>
      </c>
      <c r="AU84" s="18">
        <f t="shared" si="86"/>
        <v>22.446097792973472</v>
      </c>
      <c r="AV84" s="18">
        <f t="shared" si="87"/>
        <v>1.1243185182977804</v>
      </c>
      <c r="AX84" s="18">
        <f t="shared" si="88"/>
        <v>21.182220559678864</v>
      </c>
      <c r="AY84" s="18">
        <f t="shared" si="89"/>
        <v>1.2638772332946075</v>
      </c>
      <c r="BA84" s="17">
        <f t="shared" si="90"/>
        <v>890</v>
      </c>
      <c r="BB84" s="17">
        <f t="shared" si="91"/>
        <v>2040</v>
      </c>
      <c r="BC84" s="5" t="str">
        <f t="shared" si="92"/>
        <v>30-35</v>
      </c>
      <c r="BD84" s="5" t="str">
        <f t="shared" si="93"/>
        <v>2EXP-4-4EXP-4</v>
      </c>
      <c r="BE84" s="5" t="str">
        <f t="shared" si="94"/>
        <v>900-1200</v>
      </c>
      <c r="BF84" s="5" t="str">
        <f t="shared" si="95"/>
        <v>2000-2500</v>
      </c>
      <c r="BG84" s="5" t="str">
        <f t="shared" si="96"/>
        <v>SE</v>
      </c>
      <c r="BH84" s="5" t="str">
        <f t="shared" si="97"/>
        <v>40-60</v>
      </c>
      <c r="BI84" s="5" t="str">
        <f t="shared" si="98"/>
        <v>30-32</v>
      </c>
      <c r="BK84" s="5">
        <f t="shared" si="99"/>
        <v>1</v>
      </c>
      <c r="BL84" s="5">
        <f t="shared" si="100"/>
        <v>0</v>
      </c>
      <c r="BM84" s="5">
        <f t="shared" si="101"/>
        <v>1</v>
      </c>
      <c r="BN84" s="5">
        <f t="shared" si="102"/>
        <v>1</v>
      </c>
      <c r="BO84" s="5">
        <f t="shared" si="103"/>
        <v>0</v>
      </c>
      <c r="BP84" s="5">
        <f t="shared" si="104"/>
        <v>0</v>
      </c>
      <c r="BQ84" s="5">
        <f t="shared" si="105"/>
        <v>0</v>
      </c>
      <c r="BR84" s="5">
        <f t="shared" si="106"/>
        <v>1</v>
      </c>
      <c r="BS84" s="5">
        <f t="shared" si="107"/>
        <v>0</v>
      </c>
      <c r="BU84" s="18">
        <f t="shared" si="108"/>
        <v>21.37826979479641</v>
      </c>
      <c r="BV84" s="18">
        <f t="shared" si="109"/>
        <v>1.0678279981770622</v>
      </c>
      <c r="BW84" s="18">
        <f t="shared" si="110"/>
        <v>-0.56217200182293769</v>
      </c>
      <c r="BX84" s="18">
        <f t="shared" si="111"/>
        <v>2.6978279981770621</v>
      </c>
      <c r="BY84" s="5" t="str">
        <f t="shared" si="112"/>
        <v/>
      </c>
      <c r="CB84" s="18"/>
      <c r="CC84" s="18"/>
    </row>
    <row r="85" spans="1:81" s="47" customFormat="1" ht="9" customHeight="1" x14ac:dyDescent="0.15">
      <c r="A85" s="43" t="s">
        <v>135</v>
      </c>
      <c r="B85" s="44" t="s">
        <v>136</v>
      </c>
      <c r="C85" s="43" t="s">
        <v>137</v>
      </c>
      <c r="D85" s="48">
        <v>2</v>
      </c>
      <c r="E85" s="49">
        <v>248</v>
      </c>
      <c r="F85" s="8">
        <f t="shared" si="115"/>
        <v>7</v>
      </c>
      <c r="G85" s="45">
        <v>1900</v>
      </c>
      <c r="H85" s="49">
        <v>1650</v>
      </c>
      <c r="I85" s="49">
        <v>117</v>
      </c>
      <c r="J85" s="45">
        <v>150</v>
      </c>
      <c r="K85" s="85">
        <f t="shared" si="78"/>
        <v>33.690067525979785</v>
      </c>
      <c r="L85" s="11">
        <f t="shared" si="79"/>
        <v>2.9249999999999998</v>
      </c>
      <c r="M85" s="10">
        <f t="shared" si="80"/>
        <v>3</v>
      </c>
      <c r="N85" s="4">
        <v>0</v>
      </c>
      <c r="O85" s="90">
        <f t="shared" si="81"/>
        <v>0</v>
      </c>
      <c r="P85" s="46">
        <v>1</v>
      </c>
      <c r="Q85" s="46">
        <v>1315</v>
      </c>
      <c r="R85" s="46">
        <v>77</v>
      </c>
      <c r="S85" s="46">
        <v>1304</v>
      </c>
      <c r="T85" s="85">
        <f t="shared" si="116"/>
        <v>8.1301023541559783</v>
      </c>
      <c r="U85" s="59"/>
      <c r="V85" s="59"/>
      <c r="W85" s="59"/>
      <c r="X85" s="10"/>
      <c r="Y85" s="52">
        <v>1304</v>
      </c>
      <c r="Z85" s="51">
        <v>77</v>
      </c>
      <c r="AA85" s="46"/>
      <c r="AB85" s="46"/>
      <c r="AC85" s="85">
        <v>8.1301023541559783</v>
      </c>
      <c r="AD85" s="53">
        <v>1352</v>
      </c>
      <c r="AE85" s="65">
        <f>0.0002*2</f>
        <v>4.0000000000000002E-4</v>
      </c>
      <c r="AF85" s="51">
        <v>596</v>
      </c>
      <c r="AG85" s="11">
        <f t="shared" si="82"/>
        <v>23.78924772829486</v>
      </c>
      <c r="AH85" s="50">
        <f t="shared" si="83"/>
        <v>24.646770851931166</v>
      </c>
      <c r="AI85" s="54"/>
      <c r="AJ85" s="4"/>
      <c r="AK85" s="4"/>
      <c r="AL85" s="75"/>
      <c r="AM85" s="75"/>
      <c r="AN85" s="55"/>
      <c r="AO85" s="110">
        <v>4</v>
      </c>
      <c r="AP85" s="53">
        <v>1</v>
      </c>
      <c r="AQ85" s="71">
        <f t="shared" si="84"/>
        <v>1</v>
      </c>
      <c r="AT85" s="18">
        <f t="shared" si="85"/>
        <v>24.646770851931166</v>
      </c>
      <c r="AU85" s="18">
        <f t="shared" si="86"/>
        <v>23.78924772829486</v>
      </c>
      <c r="AV85" s="18">
        <f t="shared" si="87"/>
        <v>0.85752312363630523</v>
      </c>
      <c r="AX85" s="18">
        <f t="shared" si="88"/>
        <v>23.536013555986997</v>
      </c>
      <c r="AY85" s="18">
        <f t="shared" si="89"/>
        <v>0.25323417230786305</v>
      </c>
      <c r="BA85" s="17">
        <f t="shared" si="90"/>
        <v>585</v>
      </c>
      <c r="BB85" s="17">
        <f t="shared" si="91"/>
        <v>1275</v>
      </c>
      <c r="BC85" s="5" t="str">
        <f t="shared" si="92"/>
        <v>30-35</v>
      </c>
      <c r="BD85" s="5" t="str">
        <f t="shared" si="93"/>
        <v>4EXP-4-6EXP-4</v>
      </c>
      <c r="BE85" s="5" t="str">
        <f t="shared" si="94"/>
        <v>300-600</v>
      </c>
      <c r="BF85" s="5" t="str">
        <f t="shared" si="95"/>
        <v>1000-1500</v>
      </c>
      <c r="BG85" s="5" t="str">
        <f t="shared" si="96"/>
        <v>NW</v>
      </c>
      <c r="BH85" s="5" t="str">
        <f t="shared" si="97"/>
        <v>0-20</v>
      </c>
      <c r="BI85" s="5" t="str">
        <f t="shared" si="98"/>
        <v>32-34</v>
      </c>
      <c r="BK85" s="5">
        <f t="shared" si="99"/>
        <v>1</v>
      </c>
      <c r="BL85" s="5">
        <f t="shared" si="100"/>
        <v>0</v>
      </c>
      <c r="BM85" s="5">
        <f t="shared" si="101"/>
        <v>0</v>
      </c>
      <c r="BN85" s="5">
        <f t="shared" si="102"/>
        <v>1</v>
      </c>
      <c r="BO85" s="5">
        <f t="shared" si="103"/>
        <v>0</v>
      </c>
      <c r="BP85" s="5">
        <f t="shared" si="104"/>
        <v>0</v>
      </c>
      <c r="BQ85" s="5">
        <f t="shared" si="105"/>
        <v>1</v>
      </c>
      <c r="BR85" s="5">
        <f t="shared" si="106"/>
        <v>1</v>
      </c>
      <c r="BS85" s="5">
        <f t="shared" si="107"/>
        <v>0</v>
      </c>
      <c r="BU85" s="18">
        <f t="shared" si="108"/>
        <v>22.891153110428565</v>
      </c>
      <c r="BV85" s="18">
        <f t="shared" si="109"/>
        <v>0.89809461786629541</v>
      </c>
      <c r="BW85" s="18">
        <f t="shared" si="110"/>
        <v>-0.73190538213370449</v>
      </c>
      <c r="BX85" s="18">
        <f t="shared" si="111"/>
        <v>2.5280946178662953</v>
      </c>
      <c r="BY85" s="5" t="str">
        <f t="shared" si="112"/>
        <v/>
      </c>
      <c r="CB85" s="18"/>
      <c r="CC85" s="18"/>
    </row>
    <row r="86" spans="1:81" s="47" customFormat="1" ht="9" customHeight="1" x14ac:dyDescent="0.15">
      <c r="A86" s="43" t="s">
        <v>205</v>
      </c>
      <c r="B86" s="44" t="str">
        <f>MID(A86,1,6)</f>
        <v>UNH005</v>
      </c>
      <c r="C86" s="43" t="s">
        <v>137</v>
      </c>
      <c r="D86" s="48">
        <v>2</v>
      </c>
      <c r="E86" s="49">
        <v>300</v>
      </c>
      <c r="F86" s="8">
        <f t="shared" si="115"/>
        <v>8</v>
      </c>
      <c r="G86" s="45">
        <v>1945</v>
      </c>
      <c r="H86" s="49">
        <v>1850</v>
      </c>
      <c r="I86" s="49">
        <v>65</v>
      </c>
      <c r="J86" s="45">
        <v>136</v>
      </c>
      <c r="K86" s="85">
        <f t="shared" si="78"/>
        <v>36.326825952120238</v>
      </c>
      <c r="L86" s="11">
        <f t="shared" si="79"/>
        <v>0.61750000000000005</v>
      </c>
      <c r="M86" s="10">
        <f t="shared" si="80"/>
        <v>2</v>
      </c>
      <c r="N86" s="4">
        <v>190</v>
      </c>
      <c r="O86" s="90">
        <f t="shared" si="81"/>
        <v>13.991163475699558</v>
      </c>
      <c r="P86" s="46">
        <v>1</v>
      </c>
      <c r="Q86" s="46">
        <v>1405</v>
      </c>
      <c r="R86" s="46">
        <v>216</v>
      </c>
      <c r="S86" s="46">
        <v>1365</v>
      </c>
      <c r="T86" s="85">
        <f t="shared" si="116"/>
        <v>10.491477012331599</v>
      </c>
      <c r="U86" s="59"/>
      <c r="V86" s="59"/>
      <c r="W86" s="59"/>
      <c r="X86" s="10"/>
      <c r="Y86" s="52">
        <f>S86</f>
        <v>1365</v>
      </c>
      <c r="Z86" s="51">
        <f>R86+V86-U86</f>
        <v>216</v>
      </c>
      <c r="AA86" s="46"/>
      <c r="AB86" s="46"/>
      <c r="AC86" s="85">
        <f>T86</f>
        <v>10.491477012331599</v>
      </c>
      <c r="AD86" s="53">
        <v>1358</v>
      </c>
      <c r="AE86" s="65">
        <f>0.0002*2</f>
        <v>4.0000000000000002E-4</v>
      </c>
      <c r="AF86" s="51">
        <v>596</v>
      </c>
      <c r="AG86" s="11">
        <f t="shared" si="82"/>
        <v>23.695743468752479</v>
      </c>
      <c r="AH86" s="50">
        <f t="shared" si="83"/>
        <v>25.307343052673449</v>
      </c>
      <c r="AI86" s="55"/>
      <c r="AJ86" s="4"/>
      <c r="AK86" s="4"/>
      <c r="AL86" s="75"/>
      <c r="AM86" s="75"/>
      <c r="AN86" s="55" t="s">
        <v>206</v>
      </c>
      <c r="AO86" s="46">
        <v>4</v>
      </c>
      <c r="AP86" s="45">
        <v>1</v>
      </c>
      <c r="AQ86" s="71">
        <f t="shared" si="84"/>
        <v>1</v>
      </c>
      <c r="AT86" s="18">
        <f t="shared" si="85"/>
        <v>25.307343052673449</v>
      </c>
      <c r="AU86" s="18">
        <f t="shared" si="86"/>
        <v>23.695743468752479</v>
      </c>
      <c r="AV86" s="18">
        <f t="shared" si="87"/>
        <v>1.6115995839209702</v>
      </c>
      <c r="AX86" s="18">
        <f t="shared" si="88"/>
        <v>24.688654150558556</v>
      </c>
      <c r="AY86" s="18">
        <f t="shared" si="89"/>
        <v>-0.99291068180607667</v>
      </c>
      <c r="BA86" s="17">
        <f t="shared" si="90"/>
        <v>540</v>
      </c>
      <c r="BB86" s="17">
        <f t="shared" si="91"/>
        <v>1142</v>
      </c>
      <c r="BC86" s="5" t="str">
        <f t="shared" si="92"/>
        <v>35-40</v>
      </c>
      <c r="BD86" s="5" t="str">
        <f t="shared" si="93"/>
        <v>4EXP-4-6EXP-4</v>
      </c>
      <c r="BE86" s="5" t="str">
        <f t="shared" si="94"/>
        <v>300-600</v>
      </c>
      <c r="BF86" s="5" t="str">
        <f t="shared" si="95"/>
        <v>1000-1500</v>
      </c>
      <c r="BG86" s="5" t="str">
        <f t="shared" si="96"/>
        <v>NW</v>
      </c>
      <c r="BH86" s="5" t="str">
        <f t="shared" si="97"/>
        <v>0-20</v>
      </c>
      <c r="BI86" s="5" t="str">
        <f t="shared" si="98"/>
        <v>36-38</v>
      </c>
      <c r="BK86" s="5">
        <f t="shared" si="99"/>
        <v>1</v>
      </c>
      <c r="BL86" s="5">
        <f t="shared" si="100"/>
        <v>0</v>
      </c>
      <c r="BM86" s="5">
        <f t="shared" si="101"/>
        <v>0</v>
      </c>
      <c r="BN86" s="5">
        <f t="shared" si="102"/>
        <v>1</v>
      </c>
      <c r="BO86" s="5">
        <f t="shared" si="103"/>
        <v>0</v>
      </c>
      <c r="BP86" s="5">
        <f t="shared" si="104"/>
        <v>1</v>
      </c>
      <c r="BQ86" s="5">
        <f t="shared" si="105"/>
        <v>1</v>
      </c>
      <c r="BR86" s="5">
        <f t="shared" si="106"/>
        <v>1</v>
      </c>
      <c r="BS86" s="5">
        <f t="shared" si="107"/>
        <v>0</v>
      </c>
      <c r="BU86" s="18">
        <f t="shared" si="108"/>
        <v>25.426361461660768</v>
      </c>
      <c r="BV86" s="18">
        <f t="shared" si="109"/>
        <v>-1.7306179929082894</v>
      </c>
      <c r="BW86" s="18">
        <f t="shared" si="110"/>
        <v>-3.3606179929082893</v>
      </c>
      <c r="BX86" s="18">
        <f t="shared" si="111"/>
        <v>-0.10061799290828954</v>
      </c>
      <c r="BY86" s="5">
        <f t="shared" si="112"/>
        <v>0</v>
      </c>
      <c r="CB86" s="18"/>
      <c r="CC86" s="18"/>
    </row>
    <row r="87" spans="1:81" s="47" customFormat="1" ht="9" customHeight="1" x14ac:dyDescent="0.15">
      <c r="A87" s="43" t="s">
        <v>138</v>
      </c>
      <c r="B87" s="44" t="s">
        <v>139</v>
      </c>
      <c r="C87" s="43" t="s">
        <v>140</v>
      </c>
      <c r="D87" s="48">
        <v>2</v>
      </c>
      <c r="E87" s="49">
        <v>115</v>
      </c>
      <c r="F87" s="8">
        <f t="shared" si="115"/>
        <v>4</v>
      </c>
      <c r="G87" s="45">
        <v>2370</v>
      </c>
      <c r="H87" s="49">
        <v>2150</v>
      </c>
      <c r="I87" s="49">
        <v>126</v>
      </c>
      <c r="J87" s="45">
        <v>191</v>
      </c>
      <c r="K87" s="85">
        <f t="shared" si="78"/>
        <v>27.634765076362047</v>
      </c>
      <c r="L87" s="11">
        <f t="shared" si="79"/>
        <v>2.7719999999999998</v>
      </c>
      <c r="M87" s="10">
        <f t="shared" si="80"/>
        <v>3</v>
      </c>
      <c r="N87" s="4">
        <v>1012</v>
      </c>
      <c r="O87" s="90">
        <f t="shared" si="81"/>
        <v>47.534053546265852</v>
      </c>
      <c r="P87" s="46">
        <v>1</v>
      </c>
      <c r="Q87" s="46">
        <v>1525</v>
      </c>
      <c r="R87" s="46">
        <v>375</v>
      </c>
      <c r="S87" s="46">
        <v>1509</v>
      </c>
      <c r="T87" s="85">
        <f t="shared" si="116"/>
        <v>2.4431381125028357</v>
      </c>
      <c r="U87" s="46"/>
      <c r="V87" s="46"/>
      <c r="W87" s="46"/>
      <c r="X87" s="10"/>
      <c r="Y87" s="52">
        <v>1509</v>
      </c>
      <c r="Z87" s="51">
        <v>375</v>
      </c>
      <c r="AA87" s="46"/>
      <c r="AB87" s="46"/>
      <c r="AC87" s="85">
        <v>2.4431381125028357</v>
      </c>
      <c r="AD87" s="53">
        <v>2129</v>
      </c>
      <c r="AE87" s="65">
        <f>0.0001*2</f>
        <v>2.0000000000000001E-4</v>
      </c>
      <c r="AF87" s="51">
        <v>861</v>
      </c>
      <c r="AG87" s="11">
        <f t="shared" si="82"/>
        <v>22.019157418139233</v>
      </c>
      <c r="AH87" s="50">
        <f t="shared" si="83"/>
        <v>25.722720438702414</v>
      </c>
      <c r="AI87" s="54"/>
      <c r="AJ87" s="4"/>
      <c r="AK87" s="4"/>
      <c r="AL87" s="75"/>
      <c r="AM87" s="75"/>
      <c r="AN87" s="55"/>
      <c r="AO87" s="110">
        <v>4</v>
      </c>
      <c r="AP87" s="53">
        <v>1</v>
      </c>
      <c r="AQ87" s="71">
        <f t="shared" si="84"/>
        <v>1</v>
      </c>
      <c r="AT87" s="18">
        <f t="shared" si="85"/>
        <v>25.722720438702414</v>
      </c>
      <c r="AU87" s="18">
        <f t="shared" si="86"/>
        <v>22.019157418139233</v>
      </c>
      <c r="AV87" s="18">
        <f t="shared" si="87"/>
        <v>3.7035630205631804</v>
      </c>
      <c r="AX87" s="18">
        <f t="shared" si="88"/>
        <v>23.587494737800856</v>
      </c>
      <c r="AY87" s="18">
        <f t="shared" si="89"/>
        <v>-1.568337319661623</v>
      </c>
      <c r="BA87" s="17">
        <f t="shared" si="90"/>
        <v>845</v>
      </c>
      <c r="BB87" s="17">
        <f t="shared" si="91"/>
        <v>1754</v>
      </c>
      <c r="BC87" s="5" t="str">
        <f t="shared" si="92"/>
        <v>25-30</v>
      </c>
      <c r="BD87" s="5" t="str">
        <f t="shared" si="93"/>
        <v>2EXP-4-4EXP-4</v>
      </c>
      <c r="BE87" s="5" t="str">
        <f t="shared" si="94"/>
        <v>600-900</v>
      </c>
      <c r="BF87" s="5" t="str">
        <f t="shared" si="95"/>
        <v>2000-2500</v>
      </c>
      <c r="BG87" s="5" t="str">
        <f t="shared" si="96"/>
        <v>SE</v>
      </c>
      <c r="BH87" s="5" t="str">
        <f t="shared" si="97"/>
        <v>40-60</v>
      </c>
      <c r="BI87" s="5" t="str">
        <f t="shared" si="98"/>
        <v>25-30</v>
      </c>
      <c r="BK87" s="5">
        <f t="shared" si="99"/>
        <v>0</v>
      </c>
      <c r="BL87" s="5">
        <f t="shared" si="100"/>
        <v>0</v>
      </c>
      <c r="BM87" s="5">
        <f t="shared" si="101"/>
        <v>1</v>
      </c>
      <c r="BN87" s="5">
        <f t="shared" si="102"/>
        <v>1</v>
      </c>
      <c r="BO87" s="5">
        <f t="shared" si="103"/>
        <v>0</v>
      </c>
      <c r="BP87" s="5">
        <f t="shared" si="104"/>
        <v>0</v>
      </c>
      <c r="BQ87" s="5">
        <f t="shared" si="105"/>
        <v>0</v>
      </c>
      <c r="BR87" s="5">
        <f t="shared" si="106"/>
        <v>1</v>
      </c>
      <c r="BS87" s="5">
        <f t="shared" si="107"/>
        <v>0</v>
      </c>
      <c r="BU87" s="18">
        <f t="shared" si="108"/>
        <v>24.420668290134742</v>
      </c>
      <c r="BV87" s="18">
        <f t="shared" si="109"/>
        <v>-2.4015108719955087</v>
      </c>
      <c r="BW87" s="18">
        <f t="shared" si="110"/>
        <v>-4.0315108719955086</v>
      </c>
      <c r="BX87" s="18">
        <f t="shared" si="111"/>
        <v>-0.77151087199550883</v>
      </c>
      <c r="BY87" s="5">
        <f t="shared" si="112"/>
        <v>0</v>
      </c>
      <c r="CB87" s="18"/>
      <c r="CC87" s="18"/>
    </row>
    <row r="88" spans="1:81" s="47" customFormat="1" ht="9" customHeight="1" x14ac:dyDescent="0.15">
      <c r="A88" s="43" t="s">
        <v>207</v>
      </c>
      <c r="B88" s="44" t="str">
        <f>MID(A88,1,6)</f>
        <v>UNH256</v>
      </c>
      <c r="C88" s="43" t="s">
        <v>208</v>
      </c>
      <c r="D88" s="48">
        <v>2</v>
      </c>
      <c r="E88" s="49">
        <v>150</v>
      </c>
      <c r="F88" s="8">
        <f t="shared" si="115"/>
        <v>4</v>
      </c>
      <c r="G88" s="45">
        <v>2425</v>
      </c>
      <c r="H88" s="49">
        <v>2200</v>
      </c>
      <c r="I88" s="49">
        <v>208</v>
      </c>
      <c r="J88" s="45">
        <v>189</v>
      </c>
      <c r="K88" s="85">
        <f t="shared" si="78"/>
        <v>27.883340620448209</v>
      </c>
      <c r="L88" s="50">
        <f t="shared" si="79"/>
        <v>4.68</v>
      </c>
      <c r="M88" s="10">
        <f t="shared" si="80"/>
        <v>3</v>
      </c>
      <c r="N88" s="4">
        <v>2081</v>
      </c>
      <c r="O88" s="90">
        <f t="shared" si="81"/>
        <v>76.931608133086868</v>
      </c>
      <c r="P88" s="46">
        <v>4</v>
      </c>
      <c r="Q88" s="46">
        <v>1530</v>
      </c>
      <c r="R88" s="46">
        <v>208</v>
      </c>
      <c r="S88" s="46">
        <v>1499</v>
      </c>
      <c r="T88" s="85">
        <f t="shared" si="116"/>
        <v>8.4768782244610286</v>
      </c>
      <c r="U88" s="46"/>
      <c r="V88" s="46"/>
      <c r="W88" s="46"/>
      <c r="X88" s="10"/>
      <c r="Y88" s="52">
        <v>1499</v>
      </c>
      <c r="Z88" s="51">
        <f>R88+V88-U88</f>
        <v>208</v>
      </c>
      <c r="AA88" s="46"/>
      <c r="AB88" s="46"/>
      <c r="AC88" s="85">
        <f>T88</f>
        <v>8.4768782244610286</v>
      </c>
      <c r="AD88" s="53">
        <v>2705</v>
      </c>
      <c r="AE88" s="65">
        <f>0.00004*2</f>
        <v>8.0000000000000007E-5</v>
      </c>
      <c r="AF88" s="51">
        <f>G88-S88</f>
        <v>926</v>
      </c>
      <c r="AG88" s="11">
        <f t="shared" si="82"/>
        <v>18.897563690042116</v>
      </c>
      <c r="AH88" s="50">
        <f t="shared" si="83"/>
        <v>19.719208608020587</v>
      </c>
      <c r="AI88" s="55"/>
      <c r="AJ88" s="4"/>
      <c r="AK88" s="4"/>
      <c r="AL88" s="75"/>
      <c r="AM88" s="75"/>
      <c r="AN88" s="55"/>
      <c r="AO88" s="110">
        <v>4</v>
      </c>
      <c r="AP88" s="53">
        <v>1</v>
      </c>
      <c r="AQ88" s="71">
        <f t="shared" si="84"/>
        <v>1</v>
      </c>
      <c r="AT88" s="18">
        <f t="shared" si="85"/>
        <v>19.719208608020587</v>
      </c>
      <c r="AU88" s="18">
        <f t="shared" si="86"/>
        <v>18.897563690042116</v>
      </c>
      <c r="AV88" s="18">
        <f t="shared" si="87"/>
        <v>0.82164491797847106</v>
      </c>
      <c r="AX88" s="18">
        <f t="shared" si="88"/>
        <v>18.388790628175851</v>
      </c>
      <c r="AY88" s="18">
        <f t="shared" si="89"/>
        <v>0.5087730618662647</v>
      </c>
      <c r="BA88" s="17">
        <f t="shared" si="90"/>
        <v>895</v>
      </c>
      <c r="BB88" s="17">
        <f t="shared" si="91"/>
        <v>2497</v>
      </c>
      <c r="BC88" s="5" t="str">
        <f t="shared" si="92"/>
        <v>25-30</v>
      </c>
      <c r="BD88" s="5" t="str">
        <f t="shared" si="93"/>
        <v>&lt;2EXP-4</v>
      </c>
      <c r="BE88" s="5" t="str">
        <f t="shared" si="94"/>
        <v>900-1200</v>
      </c>
      <c r="BF88" s="5" t="str">
        <f t="shared" si="95"/>
        <v>&gt;2500</v>
      </c>
      <c r="BG88" s="5" t="str">
        <f t="shared" si="96"/>
        <v>SE</v>
      </c>
      <c r="BH88" s="5" t="str">
        <f t="shared" si="97"/>
        <v>60-80</v>
      </c>
      <c r="BI88" s="5" t="str">
        <f t="shared" si="98"/>
        <v>25-30</v>
      </c>
      <c r="BK88" s="5">
        <f t="shared" si="99"/>
        <v>0</v>
      </c>
      <c r="BL88" s="5">
        <f t="shared" si="100"/>
        <v>0</v>
      </c>
      <c r="BM88" s="5">
        <f t="shared" si="101"/>
        <v>1</v>
      </c>
      <c r="BN88" s="5">
        <f t="shared" si="102"/>
        <v>1</v>
      </c>
      <c r="BO88" s="5">
        <f t="shared" si="103"/>
        <v>0</v>
      </c>
      <c r="BP88" s="5">
        <f t="shared" si="104"/>
        <v>0</v>
      </c>
      <c r="BQ88" s="5">
        <f t="shared" si="105"/>
        <v>0</v>
      </c>
      <c r="BR88" s="5">
        <f t="shared" si="106"/>
        <v>0</v>
      </c>
      <c r="BS88" s="5">
        <f t="shared" si="107"/>
        <v>0</v>
      </c>
      <c r="BU88" s="18">
        <f t="shared" si="108"/>
        <v>19.004436645202357</v>
      </c>
      <c r="BV88" s="18">
        <f t="shared" si="109"/>
        <v>-0.10687295516024164</v>
      </c>
      <c r="BW88" s="18">
        <f t="shared" si="110"/>
        <v>-1.7368729551602415</v>
      </c>
      <c r="BX88" s="18">
        <f t="shared" si="111"/>
        <v>1.5231270448397582</v>
      </c>
      <c r="BY88" s="5" t="str">
        <f t="shared" si="112"/>
        <v/>
      </c>
      <c r="CB88" s="18"/>
      <c r="CC88" s="18"/>
    </row>
    <row r="89" spans="1:81" s="47" customFormat="1" ht="9" customHeight="1" x14ac:dyDescent="0.15">
      <c r="A89" s="43" t="s">
        <v>141</v>
      </c>
      <c r="B89" s="44" t="s">
        <v>142</v>
      </c>
      <c r="C89" s="43" t="s">
        <v>143</v>
      </c>
      <c r="D89" s="48">
        <v>3</v>
      </c>
      <c r="E89" s="49">
        <v>180</v>
      </c>
      <c r="F89" s="8">
        <f t="shared" si="115"/>
        <v>5</v>
      </c>
      <c r="G89" s="45">
        <v>1975</v>
      </c>
      <c r="H89" s="49">
        <v>1800</v>
      </c>
      <c r="I89" s="49">
        <v>138</v>
      </c>
      <c r="J89" s="45">
        <v>133</v>
      </c>
      <c r="K89" s="85">
        <f t="shared" si="78"/>
        <v>36.938762732289831</v>
      </c>
      <c r="L89" s="11">
        <f t="shared" si="79"/>
        <v>2.415</v>
      </c>
      <c r="M89" s="10">
        <f t="shared" si="80"/>
        <v>2</v>
      </c>
      <c r="N89" s="4">
        <v>0</v>
      </c>
      <c r="O89" s="90">
        <f t="shared" si="81"/>
        <v>0</v>
      </c>
      <c r="P89" s="46">
        <v>1</v>
      </c>
      <c r="Q89" s="46">
        <v>1295</v>
      </c>
      <c r="R89" s="46">
        <v>79</v>
      </c>
      <c r="S89" s="46">
        <v>1283</v>
      </c>
      <c r="T89" s="85">
        <f t="shared" si="116"/>
        <v>8.6371314150707548</v>
      </c>
      <c r="U89" s="59"/>
      <c r="V89" s="59"/>
      <c r="W89" s="59"/>
      <c r="X89" s="10"/>
      <c r="Y89" s="52">
        <v>1283</v>
      </c>
      <c r="Z89" s="51">
        <v>79</v>
      </c>
      <c r="AA89" s="46"/>
      <c r="AB89" s="46"/>
      <c r="AC89" s="85">
        <v>8.6371314150707548</v>
      </c>
      <c r="AD89" s="53">
        <v>1137</v>
      </c>
      <c r="AE89" s="65">
        <f>0.0003*2</f>
        <v>5.9999999999999995E-4</v>
      </c>
      <c r="AF89" s="51">
        <v>692</v>
      </c>
      <c r="AG89" s="11">
        <f t="shared" si="82"/>
        <v>31.32549546946975</v>
      </c>
      <c r="AH89" s="50">
        <f t="shared" si="83"/>
        <v>32.729751804370288</v>
      </c>
      <c r="AI89" s="55"/>
      <c r="AJ89" s="4"/>
      <c r="AK89" s="4"/>
      <c r="AL89" s="75"/>
      <c r="AM89" s="75"/>
      <c r="AN89" s="55" t="s">
        <v>144</v>
      </c>
      <c r="AO89" s="110">
        <v>4</v>
      </c>
      <c r="AP89" s="53">
        <v>1</v>
      </c>
      <c r="AQ89" s="71">
        <f t="shared" si="84"/>
        <v>1</v>
      </c>
      <c r="AT89" s="18">
        <f t="shared" si="85"/>
        <v>32.729751804370288</v>
      </c>
      <c r="AU89" s="18">
        <f t="shared" si="86"/>
        <v>31.32549546946975</v>
      </c>
      <c r="AV89" s="18">
        <f t="shared" si="87"/>
        <v>1.4042563349005377</v>
      </c>
      <c r="AX89" s="18">
        <f t="shared" si="88"/>
        <v>30.62490888936512</v>
      </c>
      <c r="AY89" s="18">
        <f t="shared" si="89"/>
        <v>0.70058658010463049</v>
      </c>
      <c r="BA89" s="17">
        <f t="shared" si="90"/>
        <v>680</v>
      </c>
      <c r="BB89" s="17">
        <f t="shared" si="91"/>
        <v>1058</v>
      </c>
      <c r="BC89" s="5" t="str">
        <f t="shared" si="92"/>
        <v>35-40</v>
      </c>
      <c r="BD89" s="5" t="str">
        <f t="shared" si="93"/>
        <v>6EXP-4-8EXP-4</v>
      </c>
      <c r="BE89" s="5" t="str">
        <f t="shared" si="94"/>
        <v>600-900</v>
      </c>
      <c r="BF89" s="5" t="str">
        <f t="shared" si="95"/>
        <v>1000-1500</v>
      </c>
      <c r="BG89" s="5" t="str">
        <f t="shared" si="96"/>
        <v>SE</v>
      </c>
      <c r="BH89" s="5" t="str">
        <f t="shared" si="97"/>
        <v>0-20</v>
      </c>
      <c r="BI89" s="5" t="str">
        <f t="shared" si="98"/>
        <v>36-38</v>
      </c>
      <c r="BK89" s="5">
        <f t="shared" si="99"/>
        <v>1</v>
      </c>
      <c r="BL89" s="5">
        <f t="shared" si="100"/>
        <v>1</v>
      </c>
      <c r="BM89" s="5">
        <f t="shared" si="101"/>
        <v>1</v>
      </c>
      <c r="BN89" s="5">
        <f t="shared" si="102"/>
        <v>1</v>
      </c>
      <c r="BO89" s="5">
        <f t="shared" si="103"/>
        <v>0</v>
      </c>
      <c r="BP89" s="5">
        <f t="shared" si="104"/>
        <v>1</v>
      </c>
      <c r="BQ89" s="5">
        <f t="shared" si="105"/>
        <v>0</v>
      </c>
      <c r="BR89" s="5">
        <f t="shared" si="106"/>
        <v>1</v>
      </c>
      <c r="BS89" s="5">
        <f t="shared" si="107"/>
        <v>0</v>
      </c>
      <c r="BU89" s="18">
        <f t="shared" si="108"/>
        <v>30.284295789415033</v>
      </c>
      <c r="BV89" s="18">
        <f t="shared" si="109"/>
        <v>1.0411996800547172</v>
      </c>
      <c r="BW89" s="18">
        <f t="shared" si="110"/>
        <v>-0.5888003199452827</v>
      </c>
      <c r="BX89" s="18">
        <f t="shared" si="111"/>
        <v>2.6711996800547171</v>
      </c>
      <c r="BY89" s="5" t="str">
        <f t="shared" si="112"/>
        <v/>
      </c>
      <c r="CB89" s="18"/>
      <c r="CC89" s="18"/>
    </row>
    <row r="90" spans="1:81" s="47" customFormat="1" ht="9" customHeight="1" x14ac:dyDescent="0.15">
      <c r="A90" s="69" t="s">
        <v>145</v>
      </c>
      <c r="B90" s="44" t="s">
        <v>146</v>
      </c>
      <c r="C90" s="43" t="s">
        <v>147</v>
      </c>
      <c r="D90" s="48">
        <v>2</v>
      </c>
      <c r="E90" s="49">
        <v>255</v>
      </c>
      <c r="F90" s="8">
        <f t="shared" si="115"/>
        <v>7</v>
      </c>
      <c r="G90" s="45">
        <v>2470</v>
      </c>
      <c r="H90" s="49">
        <v>2150</v>
      </c>
      <c r="I90" s="49">
        <v>318</v>
      </c>
      <c r="J90" s="45">
        <v>161</v>
      </c>
      <c r="K90" s="85">
        <f t="shared" si="78"/>
        <v>31.845160528655661</v>
      </c>
      <c r="L90" s="11">
        <f t="shared" si="79"/>
        <v>10.176</v>
      </c>
      <c r="M90" s="10">
        <f t="shared" si="80"/>
        <v>4</v>
      </c>
      <c r="N90" s="4">
        <v>1858</v>
      </c>
      <c r="O90" s="90">
        <f t="shared" si="81"/>
        <v>71.876208897485498</v>
      </c>
      <c r="P90" s="46">
        <v>1</v>
      </c>
      <c r="Q90" s="46">
        <v>1380</v>
      </c>
      <c r="R90" s="46"/>
      <c r="S90" s="46">
        <v>1390</v>
      </c>
      <c r="T90" s="85"/>
      <c r="U90" s="46">
        <v>44</v>
      </c>
      <c r="V90" s="46"/>
      <c r="W90" s="46"/>
      <c r="X90" s="10"/>
      <c r="Y90" s="52">
        <v>1390</v>
      </c>
      <c r="Z90" s="51">
        <v>-44</v>
      </c>
      <c r="AA90" s="46">
        <v>270</v>
      </c>
      <c r="AB90" s="46">
        <v>60</v>
      </c>
      <c r="AC90" s="85">
        <v>12.528807709151511</v>
      </c>
      <c r="AD90" s="53">
        <v>2585</v>
      </c>
      <c r="AE90" s="65">
        <f>0.0001*2</f>
        <v>2.0000000000000001E-4</v>
      </c>
      <c r="AF90" s="51">
        <v>1080</v>
      </c>
      <c r="AG90" s="11">
        <f t="shared" si="82"/>
        <v>22.674926773016168</v>
      </c>
      <c r="AH90" s="50">
        <f t="shared" si="83"/>
        <v>22.519204862719189</v>
      </c>
      <c r="AI90" s="55"/>
      <c r="AJ90" s="4"/>
      <c r="AK90" s="4"/>
      <c r="AL90" s="75"/>
      <c r="AM90" s="75"/>
      <c r="AN90" s="55"/>
      <c r="AO90" s="110">
        <v>4</v>
      </c>
      <c r="AP90" s="53">
        <v>2</v>
      </c>
      <c r="AQ90" s="71">
        <f t="shared" si="84"/>
        <v>1</v>
      </c>
      <c r="AT90" s="18">
        <f t="shared" si="85"/>
        <v>22.519204862719189</v>
      </c>
      <c r="AU90" s="18">
        <f t="shared" si="86"/>
        <v>22.674926773016168</v>
      </c>
      <c r="AV90" s="18">
        <f t="shared" si="87"/>
        <v>-0.1557219102969789</v>
      </c>
      <c r="AX90" s="18">
        <f t="shared" si="88"/>
        <v>20.014787744293777</v>
      </c>
      <c r="AY90" s="18">
        <f t="shared" si="89"/>
        <v>2.6601390287223907</v>
      </c>
      <c r="BA90" s="17">
        <f t="shared" si="90"/>
        <v>1090</v>
      </c>
      <c r="BB90" s="17">
        <f t="shared" si="91"/>
        <v>2629</v>
      </c>
      <c r="BC90" s="5" t="str">
        <f t="shared" si="92"/>
        <v>30-35</v>
      </c>
      <c r="BD90" s="5" t="str">
        <f t="shared" si="93"/>
        <v>2EXP-4-4EXP-4</v>
      </c>
      <c r="BE90" s="5" t="str">
        <f t="shared" si="94"/>
        <v>900-1200</v>
      </c>
      <c r="BF90" s="5" t="str">
        <f t="shared" si="95"/>
        <v>&gt;2500</v>
      </c>
      <c r="BG90" s="5" t="str">
        <f t="shared" si="96"/>
        <v>NW</v>
      </c>
      <c r="BH90" s="5" t="str">
        <f t="shared" si="97"/>
        <v>60-80</v>
      </c>
      <c r="BI90" s="5" t="str">
        <f t="shared" si="98"/>
        <v>30-32</v>
      </c>
      <c r="BK90" s="5">
        <f t="shared" si="99"/>
        <v>1</v>
      </c>
      <c r="BL90" s="5">
        <f t="shared" si="100"/>
        <v>0</v>
      </c>
      <c r="BM90" s="5">
        <f t="shared" si="101"/>
        <v>1</v>
      </c>
      <c r="BN90" s="5">
        <f t="shared" si="102"/>
        <v>0</v>
      </c>
      <c r="BO90" s="5">
        <f t="shared" si="103"/>
        <v>0</v>
      </c>
      <c r="BP90" s="5">
        <f t="shared" si="104"/>
        <v>0</v>
      </c>
      <c r="BQ90" s="5">
        <f t="shared" si="105"/>
        <v>1</v>
      </c>
      <c r="BR90" s="5">
        <f t="shared" si="106"/>
        <v>0</v>
      </c>
      <c r="BS90" s="5">
        <f t="shared" si="107"/>
        <v>0</v>
      </c>
      <c r="BU90" s="18">
        <f t="shared" si="108"/>
        <v>20.652153888306032</v>
      </c>
      <c r="BV90" s="18">
        <f t="shared" si="109"/>
        <v>2.0227728847101361</v>
      </c>
      <c r="BW90" s="18">
        <f t="shared" si="110"/>
        <v>0.39277288471013616</v>
      </c>
      <c r="BX90" s="18">
        <f t="shared" si="111"/>
        <v>3.6527728847101359</v>
      </c>
      <c r="BY90" s="5">
        <f t="shared" si="112"/>
        <v>1</v>
      </c>
      <c r="CB90" s="18"/>
      <c r="CC90" s="18"/>
    </row>
    <row r="91" spans="1:81" s="47" customFormat="1" ht="9" customHeight="1" x14ac:dyDescent="0.15">
      <c r="A91" s="77" t="s">
        <v>268</v>
      </c>
      <c r="B91" s="2" t="str">
        <f>MID(A91,1,6)</f>
        <v>VFR005</v>
      </c>
      <c r="C91" s="1" t="s">
        <v>150</v>
      </c>
      <c r="D91" s="6">
        <v>5</v>
      </c>
      <c r="E91" s="7">
        <v>352</v>
      </c>
      <c r="F91" s="8">
        <v>1</v>
      </c>
      <c r="G91" s="3">
        <v>2395</v>
      </c>
      <c r="H91" s="7">
        <v>2300</v>
      </c>
      <c r="I91" s="3">
        <v>66</v>
      </c>
      <c r="J91" s="45">
        <v>156</v>
      </c>
      <c r="K91" s="85">
        <f t="shared" si="78"/>
        <v>32.66091272167381</v>
      </c>
      <c r="L91" s="11">
        <f t="shared" si="79"/>
        <v>0.627</v>
      </c>
      <c r="M91" s="10">
        <f t="shared" si="80"/>
        <v>2</v>
      </c>
      <c r="N91" s="4">
        <v>0</v>
      </c>
      <c r="O91" s="90">
        <f t="shared" si="81"/>
        <v>0</v>
      </c>
      <c r="P91" s="4">
        <v>1</v>
      </c>
      <c r="Q91" s="4">
        <v>1280</v>
      </c>
      <c r="R91" s="4"/>
      <c r="S91" s="4">
        <v>2010</v>
      </c>
      <c r="T91" s="85"/>
      <c r="U91" s="4">
        <v>1986</v>
      </c>
      <c r="V91" s="4"/>
      <c r="W91" s="4"/>
      <c r="X91" s="10"/>
      <c r="Y91" s="14">
        <f>S91</f>
        <v>2010</v>
      </c>
      <c r="Z91" s="12">
        <f>R91+V91-U91</f>
        <v>-1986</v>
      </c>
      <c r="AA91" s="46"/>
      <c r="AB91" s="46"/>
      <c r="AC91" s="85"/>
      <c r="AD91" s="13">
        <v>710</v>
      </c>
      <c r="AE91" s="3">
        <f>2*(POWER(10,-4))*2</f>
        <v>4.0000000000000002E-4</v>
      </c>
      <c r="AF91" s="12">
        <f>G91-S91</f>
        <v>385</v>
      </c>
      <c r="AG91" s="11">
        <f t="shared" si="82"/>
        <v>28.468918996594326</v>
      </c>
      <c r="AH91" s="50">
        <f t="shared" si="83"/>
        <v>22.468796720281102</v>
      </c>
      <c r="AI91" s="16">
        <v>2.3523999999999998</v>
      </c>
      <c r="AJ91" s="4">
        <v>424</v>
      </c>
      <c r="AK91" s="4">
        <v>236</v>
      </c>
      <c r="AL91" s="75">
        <f>(AJ91/AD91)*100</f>
        <v>59.718309859154928</v>
      </c>
      <c r="AM91" s="75">
        <f>(AK91/AD91)*100</f>
        <v>33.239436619718312</v>
      </c>
      <c r="AN91" s="57"/>
      <c r="AO91" s="76">
        <v>4</v>
      </c>
      <c r="AP91" s="13">
        <v>4</v>
      </c>
      <c r="AQ91" s="71">
        <f t="shared" si="84"/>
        <v>2</v>
      </c>
      <c r="AT91" s="18">
        <f t="shared" si="85"/>
        <v>22.468796720281102</v>
      </c>
      <c r="AU91" s="18">
        <f t="shared" si="86"/>
        <v>28.468918996594326</v>
      </c>
      <c r="AV91" s="18">
        <f t="shared" si="87"/>
        <v>-6.000122276313224</v>
      </c>
      <c r="AX91" s="18">
        <f t="shared" si="88"/>
        <v>23.150973474616446</v>
      </c>
      <c r="AY91" s="18">
        <f t="shared" si="89"/>
        <v>5.3179455219778795</v>
      </c>
      <c r="BA91" s="17">
        <f t="shared" si="90"/>
        <v>1115</v>
      </c>
      <c r="BB91" s="17">
        <f t="shared" si="91"/>
        <v>2696</v>
      </c>
      <c r="BC91" s="5" t="str">
        <f t="shared" si="92"/>
        <v>30-35</v>
      </c>
      <c r="BD91" s="5" t="str">
        <f t="shared" si="93"/>
        <v>4EXP-4-6EXP-4</v>
      </c>
      <c r="BE91" s="5" t="str">
        <f t="shared" si="94"/>
        <v>600-900</v>
      </c>
      <c r="BF91" s="5" t="str">
        <f t="shared" si="95"/>
        <v>1000-1500</v>
      </c>
      <c r="BG91" s="5" t="str">
        <f t="shared" si="96"/>
        <v>NW</v>
      </c>
      <c r="BH91" s="5" t="str">
        <f t="shared" si="97"/>
        <v>0-20</v>
      </c>
      <c r="BI91" s="5" t="str">
        <f t="shared" si="98"/>
        <v>30-32</v>
      </c>
      <c r="BK91" s="5">
        <f t="shared" si="99"/>
        <v>1</v>
      </c>
      <c r="BL91" s="5">
        <f t="shared" si="100"/>
        <v>0</v>
      </c>
      <c r="BM91" s="5">
        <f t="shared" si="101"/>
        <v>1</v>
      </c>
      <c r="BN91" s="5">
        <f t="shared" si="102"/>
        <v>0</v>
      </c>
      <c r="BO91" s="5">
        <f t="shared" si="103"/>
        <v>0</v>
      </c>
      <c r="BP91" s="5">
        <f t="shared" si="104"/>
        <v>1</v>
      </c>
      <c r="BQ91" s="5">
        <f t="shared" si="105"/>
        <v>1</v>
      </c>
      <c r="BR91" s="5">
        <f t="shared" si="106"/>
        <v>1</v>
      </c>
      <c r="BS91" s="5">
        <f t="shared" si="107"/>
        <v>1</v>
      </c>
      <c r="BU91" s="18">
        <f t="shared" si="108"/>
        <v>24.376993828721911</v>
      </c>
      <c r="BV91" s="18">
        <f t="shared" si="109"/>
        <v>4.0919251678724144</v>
      </c>
      <c r="BW91" s="18">
        <f t="shared" si="110"/>
        <v>2.4619251678724146</v>
      </c>
      <c r="BX91" s="18">
        <f t="shared" si="111"/>
        <v>5.7219251678724143</v>
      </c>
      <c r="BY91" s="5">
        <f t="shared" si="112"/>
        <v>1</v>
      </c>
      <c r="CB91" s="18" t="str">
        <f>IF($BG91=CB$1,$AI91," ")</f>
        <v xml:space="preserve"> </v>
      </c>
      <c r="CC91" s="18">
        <f>IF($BG91=CC$1,$AI91," ")</f>
        <v>2.3523999999999998</v>
      </c>
    </row>
    <row r="92" spans="1:81" s="47" customFormat="1" ht="9" customHeight="1" x14ac:dyDescent="0.15">
      <c r="A92" s="43" t="s">
        <v>148</v>
      </c>
      <c r="B92" s="44" t="s">
        <v>149</v>
      </c>
      <c r="C92" s="43" t="s">
        <v>150</v>
      </c>
      <c r="D92" s="48">
        <v>5</v>
      </c>
      <c r="E92" s="49">
        <v>358</v>
      </c>
      <c r="F92" s="8">
        <v>1</v>
      </c>
      <c r="G92" s="45">
        <v>2460</v>
      </c>
      <c r="H92" s="49">
        <v>2350</v>
      </c>
      <c r="I92" s="45">
        <v>504</v>
      </c>
      <c r="J92" s="45">
        <v>137</v>
      </c>
      <c r="K92" s="85">
        <f t="shared" si="78"/>
        <v>36.126715772789915</v>
      </c>
      <c r="L92" s="11">
        <f t="shared" si="79"/>
        <v>5.5439999999999996</v>
      </c>
      <c r="M92" s="10">
        <f t="shared" si="80"/>
        <v>3</v>
      </c>
      <c r="N92" s="4">
        <v>64</v>
      </c>
      <c r="O92" s="90">
        <f t="shared" si="81"/>
        <v>6.1895551257253389</v>
      </c>
      <c r="P92" s="46">
        <v>1</v>
      </c>
      <c r="Q92" s="46">
        <v>1930</v>
      </c>
      <c r="R92" s="46">
        <v>18</v>
      </c>
      <c r="S92" s="46">
        <v>1930</v>
      </c>
      <c r="T92" s="85">
        <f>DEGREES(ATAN((Q92-S92)/R92))</f>
        <v>0</v>
      </c>
      <c r="U92" s="46"/>
      <c r="V92" s="46"/>
      <c r="W92" s="46"/>
      <c r="X92" s="10"/>
      <c r="Y92" s="52">
        <v>1930</v>
      </c>
      <c r="Z92" s="51">
        <v>18</v>
      </c>
      <c r="AA92" s="46"/>
      <c r="AB92" s="46"/>
      <c r="AC92" s="85">
        <v>0</v>
      </c>
      <c r="AD92" s="53">
        <v>1034</v>
      </c>
      <c r="AE92" s="65">
        <f>0.0002*2</f>
        <v>4.0000000000000002E-4</v>
      </c>
      <c r="AF92" s="51">
        <v>530</v>
      </c>
      <c r="AG92" s="11">
        <f t="shared" si="82"/>
        <v>27.138430906679083</v>
      </c>
      <c r="AH92" s="50">
        <f t="shared" si="83"/>
        <v>27.54895690910298</v>
      </c>
      <c r="AI92" s="55">
        <v>15.1166</v>
      </c>
      <c r="AJ92" s="4">
        <v>673</v>
      </c>
      <c r="AK92" s="4">
        <v>310</v>
      </c>
      <c r="AL92" s="75">
        <f>(AJ92/AD92)*100</f>
        <v>65.087040618955513</v>
      </c>
      <c r="AM92" s="75">
        <f>(AK92/AD92)*100</f>
        <v>29.980657640232106</v>
      </c>
      <c r="AN92" s="55"/>
      <c r="AO92" s="110">
        <v>4</v>
      </c>
      <c r="AP92" s="53">
        <v>4</v>
      </c>
      <c r="AQ92" s="71">
        <f t="shared" si="84"/>
        <v>2</v>
      </c>
      <c r="AT92" s="18">
        <f t="shared" si="85"/>
        <v>27.54895690910298</v>
      </c>
      <c r="AU92" s="18">
        <f t="shared" si="86"/>
        <v>27.138430906679083</v>
      </c>
      <c r="AV92" s="18">
        <f t="shared" si="87"/>
        <v>0.41052600242389659</v>
      </c>
      <c r="AX92" s="18">
        <f t="shared" si="88"/>
        <v>26.088696820009297</v>
      </c>
      <c r="AY92" s="18">
        <f t="shared" si="89"/>
        <v>1.0497340866697868</v>
      </c>
      <c r="BA92" s="17">
        <f t="shared" si="90"/>
        <v>530</v>
      </c>
      <c r="BB92" s="17">
        <f t="shared" si="91"/>
        <v>1016</v>
      </c>
      <c r="BC92" s="5" t="str">
        <f t="shared" si="92"/>
        <v>35-40</v>
      </c>
      <c r="BD92" s="5" t="str">
        <f t="shared" si="93"/>
        <v>4EXP-4-6EXP-4</v>
      </c>
      <c r="BE92" s="5" t="str">
        <f t="shared" si="94"/>
        <v>300-600</v>
      </c>
      <c r="BF92" s="5" t="str">
        <f t="shared" si="95"/>
        <v>1000-1500</v>
      </c>
      <c r="BG92" s="5" t="str">
        <f t="shared" si="96"/>
        <v>NW</v>
      </c>
      <c r="BH92" s="5" t="str">
        <f t="shared" si="97"/>
        <v>0-20</v>
      </c>
      <c r="BI92" s="5" t="str">
        <f t="shared" si="98"/>
        <v>36-38</v>
      </c>
      <c r="BK92" s="5">
        <f t="shared" si="99"/>
        <v>1</v>
      </c>
      <c r="BL92" s="5">
        <f t="shared" si="100"/>
        <v>0</v>
      </c>
      <c r="BM92" s="5">
        <f t="shared" si="101"/>
        <v>0</v>
      </c>
      <c r="BN92" s="5">
        <f t="shared" si="102"/>
        <v>1</v>
      </c>
      <c r="BO92" s="5">
        <f t="shared" si="103"/>
        <v>0</v>
      </c>
      <c r="BP92" s="5">
        <f t="shared" si="104"/>
        <v>0</v>
      </c>
      <c r="BQ92" s="5">
        <f t="shared" si="105"/>
        <v>1</v>
      </c>
      <c r="BR92" s="5">
        <f t="shared" si="106"/>
        <v>1</v>
      </c>
      <c r="BS92" s="5">
        <f t="shared" si="107"/>
        <v>1</v>
      </c>
      <c r="BU92" s="18">
        <f t="shared" si="108"/>
        <v>24.423350875235091</v>
      </c>
      <c r="BV92" s="18">
        <f t="shared" si="109"/>
        <v>2.7150800314439927</v>
      </c>
      <c r="BW92" s="18">
        <f t="shared" si="110"/>
        <v>1.0850800314439928</v>
      </c>
      <c r="BX92" s="18">
        <f t="shared" si="111"/>
        <v>4.3450800314439926</v>
      </c>
      <c r="BY92" s="5">
        <f t="shared" si="112"/>
        <v>1</v>
      </c>
      <c r="CB92" s="18"/>
      <c r="CC92" s="18">
        <f>IF($BG92=CC$1,$AI92," ")</f>
        <v>15.1166</v>
      </c>
    </row>
    <row r="93" spans="1:81" s="47" customFormat="1" ht="9" customHeight="1" x14ac:dyDescent="0.15">
      <c r="A93" s="69" t="s">
        <v>209</v>
      </c>
      <c r="B93" s="44" t="str">
        <f>MID(A93,1,6)</f>
        <v>VFR008</v>
      </c>
      <c r="C93" s="43" t="s">
        <v>150</v>
      </c>
      <c r="D93" s="48">
        <v>5</v>
      </c>
      <c r="E93" s="49">
        <v>358</v>
      </c>
      <c r="F93" s="8">
        <v>1</v>
      </c>
      <c r="G93" s="45">
        <v>2455</v>
      </c>
      <c r="H93" s="49">
        <v>2375</v>
      </c>
      <c r="I93" s="45">
        <v>124</v>
      </c>
      <c r="J93" s="45">
        <v>179</v>
      </c>
      <c r="K93" s="85">
        <f t="shared" si="78"/>
        <v>29.190311518239078</v>
      </c>
      <c r="L93" s="11">
        <f t="shared" si="79"/>
        <v>0.99199999999999999</v>
      </c>
      <c r="M93" s="10">
        <f t="shared" si="80"/>
        <v>2</v>
      </c>
      <c r="N93" s="4">
        <v>0</v>
      </c>
      <c r="O93" s="90">
        <f t="shared" si="81"/>
        <v>0</v>
      </c>
      <c r="P93" s="46">
        <v>1</v>
      </c>
      <c r="Q93" s="46">
        <v>1895</v>
      </c>
      <c r="R93" s="46"/>
      <c r="S93" s="46">
        <v>2000</v>
      </c>
      <c r="T93" s="85"/>
      <c r="U93" s="46">
        <v>332</v>
      </c>
      <c r="V93" s="46"/>
      <c r="W93" s="46"/>
      <c r="X93" s="10"/>
      <c r="Y93" s="52">
        <f>S93</f>
        <v>2000</v>
      </c>
      <c r="Z93" s="51">
        <f>R93+V93-U93</f>
        <v>-332</v>
      </c>
      <c r="AA93" s="46">
        <v>83</v>
      </c>
      <c r="AB93" s="46">
        <v>30</v>
      </c>
      <c r="AC93" s="85">
        <f>DEGREES(ATAN((AB93)/AA93))</f>
        <v>19.8721758192439</v>
      </c>
      <c r="AD93" s="53">
        <v>945</v>
      </c>
      <c r="AE93" s="65">
        <f>0.0001*2</f>
        <v>2.0000000000000001E-4</v>
      </c>
      <c r="AF93" s="51">
        <f>G93-S93</f>
        <v>455</v>
      </c>
      <c r="AG93" s="11">
        <f t="shared" si="82"/>
        <v>25.709953780811265</v>
      </c>
      <c r="AH93" s="50">
        <f t="shared" si="83"/>
        <v>23.678786858100903</v>
      </c>
      <c r="AI93" s="55">
        <v>1.7174</v>
      </c>
      <c r="AJ93" s="4">
        <v>284</v>
      </c>
      <c r="AK93" s="4">
        <v>661</v>
      </c>
      <c r="AL93" s="75">
        <f>(AJ93/AD93)*100</f>
        <v>30.052910052910054</v>
      </c>
      <c r="AM93" s="75">
        <f>(AK93/AD93)*100</f>
        <v>69.94708994708995</v>
      </c>
      <c r="AN93" s="55"/>
      <c r="AO93" s="110">
        <v>4</v>
      </c>
      <c r="AP93" s="53">
        <v>4</v>
      </c>
      <c r="AQ93" s="71">
        <f t="shared" si="84"/>
        <v>2</v>
      </c>
      <c r="AT93" s="18">
        <f t="shared" si="85"/>
        <v>23.678786858100903</v>
      </c>
      <c r="AU93" s="18">
        <f t="shared" si="86"/>
        <v>25.709953780811265</v>
      </c>
      <c r="AV93" s="18">
        <f t="shared" si="87"/>
        <v>-2.0311669227103621</v>
      </c>
      <c r="AX93" s="18">
        <f t="shared" si="88"/>
        <v>23.847665880737694</v>
      </c>
      <c r="AY93" s="18">
        <f t="shared" si="89"/>
        <v>1.8622879000735715</v>
      </c>
      <c r="BA93" s="17">
        <f t="shared" si="90"/>
        <v>560</v>
      </c>
      <c r="BB93" s="17">
        <f t="shared" si="91"/>
        <v>1277</v>
      </c>
      <c r="BC93" s="5" t="str">
        <f t="shared" si="92"/>
        <v>25-30</v>
      </c>
      <c r="BD93" s="5" t="str">
        <f t="shared" si="93"/>
        <v>2EXP-4-4EXP-4</v>
      </c>
      <c r="BE93" s="5" t="str">
        <f t="shared" si="94"/>
        <v>300-600</v>
      </c>
      <c r="BF93" s="5" t="str">
        <f t="shared" si="95"/>
        <v>1000-1500</v>
      </c>
      <c r="BG93" s="5" t="str">
        <f t="shared" si="96"/>
        <v>NW</v>
      </c>
      <c r="BH93" s="5" t="str">
        <f t="shared" si="97"/>
        <v>0-20</v>
      </c>
      <c r="BI93" s="5" t="str">
        <f t="shared" si="98"/>
        <v>25-30</v>
      </c>
      <c r="BK93" s="5">
        <f t="shared" si="99"/>
        <v>0</v>
      </c>
      <c r="BL93" s="5">
        <f t="shared" si="100"/>
        <v>0</v>
      </c>
      <c r="BM93" s="5">
        <f t="shared" si="101"/>
        <v>0</v>
      </c>
      <c r="BN93" s="5">
        <f t="shared" si="102"/>
        <v>1</v>
      </c>
      <c r="BO93" s="5">
        <f t="shared" si="103"/>
        <v>0</v>
      </c>
      <c r="BP93" s="5">
        <f t="shared" si="104"/>
        <v>1</v>
      </c>
      <c r="BQ93" s="5">
        <f t="shared" si="105"/>
        <v>1</v>
      </c>
      <c r="BR93" s="5">
        <f t="shared" si="106"/>
        <v>1</v>
      </c>
      <c r="BS93" s="5">
        <f t="shared" si="107"/>
        <v>1</v>
      </c>
      <c r="BU93" s="18">
        <f t="shared" si="108"/>
        <v>23.44937079705749</v>
      </c>
      <c r="BV93" s="18">
        <f t="shared" si="109"/>
        <v>2.2605829837537748</v>
      </c>
      <c r="BW93" s="18">
        <f t="shared" si="110"/>
        <v>0.63058298375377486</v>
      </c>
      <c r="BX93" s="18">
        <f t="shared" si="111"/>
        <v>3.8905829837537746</v>
      </c>
      <c r="BY93" s="5">
        <f t="shared" si="112"/>
        <v>1</v>
      </c>
      <c r="CB93" s="18"/>
      <c r="CC93" s="18">
        <f>IF($BG93=CC$1,$AI93," ")</f>
        <v>1.7174</v>
      </c>
    </row>
    <row r="94" spans="1:81" s="47" customFormat="1" ht="9" customHeight="1" x14ac:dyDescent="0.15">
      <c r="A94" s="69" t="s">
        <v>151</v>
      </c>
      <c r="B94" s="44" t="s">
        <v>152</v>
      </c>
      <c r="C94" s="43" t="s">
        <v>153</v>
      </c>
      <c r="D94" s="48">
        <v>5</v>
      </c>
      <c r="E94" s="49">
        <v>340</v>
      </c>
      <c r="F94" s="8">
        <v>1</v>
      </c>
      <c r="G94" s="45">
        <v>2560</v>
      </c>
      <c r="H94" s="49">
        <v>2430</v>
      </c>
      <c r="I94" s="45">
        <v>447</v>
      </c>
      <c r="J94" s="45">
        <v>144</v>
      </c>
      <c r="K94" s="85">
        <f t="shared" si="78"/>
        <v>34.777831366363877</v>
      </c>
      <c r="L94" s="11">
        <f t="shared" si="79"/>
        <v>5.8109999999999999</v>
      </c>
      <c r="M94" s="10">
        <f t="shared" si="80"/>
        <v>3</v>
      </c>
      <c r="N94" s="4">
        <v>1683</v>
      </c>
      <c r="O94" s="90">
        <f t="shared" si="81"/>
        <v>59.260563380281695</v>
      </c>
      <c r="P94" s="46">
        <v>1</v>
      </c>
      <c r="Q94" s="46">
        <v>1335</v>
      </c>
      <c r="R94" s="46"/>
      <c r="S94" s="46">
        <v>1405</v>
      </c>
      <c r="T94" s="85"/>
      <c r="U94" s="46">
        <v>307</v>
      </c>
      <c r="V94" s="46"/>
      <c r="W94" s="46"/>
      <c r="X94" s="10"/>
      <c r="Y94" s="52">
        <v>1405</v>
      </c>
      <c r="Z94" s="51">
        <f>-U94</f>
        <v>-307</v>
      </c>
      <c r="AA94" s="46">
        <v>105</v>
      </c>
      <c r="AB94" s="46">
        <v>25</v>
      </c>
      <c r="AC94" s="85">
        <v>13.392497753751098</v>
      </c>
      <c r="AD94" s="53">
        <v>2840</v>
      </c>
      <c r="AE94" s="65">
        <f>0.00006*2</f>
        <v>1.2E-4</v>
      </c>
      <c r="AF94" s="51">
        <v>1155</v>
      </c>
      <c r="AG94" s="11">
        <f t="shared" si="82"/>
        <v>22.131090829907983</v>
      </c>
      <c r="AH94" s="50">
        <f t="shared" si="83"/>
        <v>21.268953726697411</v>
      </c>
      <c r="AI94" s="55">
        <v>3.6385999999999998</v>
      </c>
      <c r="AJ94" s="4">
        <v>1909</v>
      </c>
      <c r="AK94" s="4">
        <v>965</v>
      </c>
      <c r="AL94" s="75">
        <f>(AJ94/AD94)*100</f>
        <v>67.218309859154928</v>
      </c>
      <c r="AM94" s="75">
        <f>(AK94/AD94)*100</f>
        <v>33.978873239436616</v>
      </c>
      <c r="AN94" s="55"/>
      <c r="AO94" s="110">
        <v>4</v>
      </c>
      <c r="AP94" s="53">
        <v>4</v>
      </c>
      <c r="AQ94" s="71">
        <f t="shared" si="84"/>
        <v>2</v>
      </c>
      <c r="AT94" s="18">
        <f t="shared" si="85"/>
        <v>21.268953726697411</v>
      </c>
      <c r="AU94" s="18">
        <f t="shared" si="86"/>
        <v>22.131090829907983</v>
      </c>
      <c r="AV94" s="18">
        <f t="shared" si="87"/>
        <v>-0.86213710321057135</v>
      </c>
      <c r="AX94" s="18">
        <f t="shared" si="88"/>
        <v>19.447094369557007</v>
      </c>
      <c r="AY94" s="18">
        <f t="shared" si="89"/>
        <v>2.6839964603509756</v>
      </c>
      <c r="BA94" s="17">
        <f t="shared" si="90"/>
        <v>1225</v>
      </c>
      <c r="BB94" s="17">
        <f t="shared" si="91"/>
        <v>3147</v>
      </c>
      <c r="BC94" s="5" t="str">
        <f t="shared" si="92"/>
        <v>30-35</v>
      </c>
      <c r="BD94" s="5" t="str">
        <f t="shared" si="93"/>
        <v>&lt;2EXP-4</v>
      </c>
      <c r="BE94" s="5" t="str">
        <f t="shared" si="94"/>
        <v>900-1200</v>
      </c>
      <c r="BF94" s="5" t="str">
        <f t="shared" si="95"/>
        <v>&gt;2500</v>
      </c>
      <c r="BG94" s="5" t="str">
        <f t="shared" si="96"/>
        <v>NW</v>
      </c>
      <c r="BH94" s="5" t="str">
        <f t="shared" si="97"/>
        <v>40-60</v>
      </c>
      <c r="BI94" s="5" t="str">
        <f t="shared" si="98"/>
        <v>34-36</v>
      </c>
      <c r="BK94" s="5">
        <f t="shared" si="99"/>
        <v>1</v>
      </c>
      <c r="BL94" s="5">
        <f t="shared" si="100"/>
        <v>0</v>
      </c>
      <c r="BM94" s="5">
        <f t="shared" si="101"/>
        <v>1</v>
      </c>
      <c r="BN94" s="5">
        <f t="shared" si="102"/>
        <v>0</v>
      </c>
      <c r="BO94" s="5">
        <f t="shared" si="103"/>
        <v>0</v>
      </c>
      <c r="BP94" s="5">
        <f t="shared" si="104"/>
        <v>0</v>
      </c>
      <c r="BQ94" s="5">
        <f t="shared" si="105"/>
        <v>1</v>
      </c>
      <c r="BR94" s="5">
        <f t="shared" si="106"/>
        <v>1</v>
      </c>
      <c r="BS94" s="5">
        <f t="shared" si="107"/>
        <v>1</v>
      </c>
      <c r="BU94" s="18">
        <f t="shared" si="108"/>
        <v>20.77703658875409</v>
      </c>
      <c r="BV94" s="18">
        <f t="shared" si="109"/>
        <v>1.3540542411538929</v>
      </c>
      <c r="BW94" s="18">
        <f t="shared" si="110"/>
        <v>-0.27594575884610695</v>
      </c>
      <c r="BX94" s="18">
        <f t="shared" si="111"/>
        <v>2.9840542411538928</v>
      </c>
      <c r="BY94" s="5" t="str">
        <f t="shared" si="112"/>
        <v/>
      </c>
      <c r="CB94" s="18"/>
      <c r="CC94" s="18">
        <f>IF($BG94=CC$1,$AI94," ")</f>
        <v>3.6385999999999998</v>
      </c>
    </row>
    <row r="95" spans="1:81" s="47" customFormat="1" ht="9" customHeight="1" x14ac:dyDescent="0.15">
      <c r="A95" s="43" t="s">
        <v>247</v>
      </c>
      <c r="B95" s="44" t="s">
        <v>248</v>
      </c>
      <c r="C95" s="43" t="s">
        <v>249</v>
      </c>
      <c r="D95" s="48">
        <v>2</v>
      </c>
      <c r="E95" s="49">
        <v>90</v>
      </c>
      <c r="F95" s="8">
        <f>IF(E95&lt;22.5,1,IF(E95&lt;67.5,2,IF(E95&lt;112.5,3,IF(E95&lt;157.5,4,IF(E95&lt;202.5,5,IF(E95&lt;247.5,6,IF(E95&lt;292.5,7,IF(E95&lt;337.5,8,"1"))))))))</f>
        <v>3</v>
      </c>
      <c r="G95" s="45">
        <v>2370</v>
      </c>
      <c r="H95" s="49">
        <v>2240</v>
      </c>
      <c r="I95" s="49">
        <v>89</v>
      </c>
      <c r="J95" s="45">
        <v>108</v>
      </c>
      <c r="K95" s="85">
        <f t="shared" si="78"/>
        <v>42.797401838234194</v>
      </c>
      <c r="L95" s="50">
        <f t="shared" si="79"/>
        <v>1.157</v>
      </c>
      <c r="M95" s="10">
        <f t="shared" si="80"/>
        <v>2</v>
      </c>
      <c r="N95" s="4">
        <v>0</v>
      </c>
      <c r="O95" s="90">
        <f t="shared" si="81"/>
        <v>0</v>
      </c>
      <c r="P95" s="46">
        <v>2</v>
      </c>
      <c r="Q95" s="46">
        <v>1875</v>
      </c>
      <c r="R95" s="46">
        <v>42</v>
      </c>
      <c r="S95" s="46">
        <v>1867</v>
      </c>
      <c r="T95" s="85">
        <f>DEGREES(ATAN((Q95-S95)/R95))</f>
        <v>10.7842978675626</v>
      </c>
      <c r="U95" s="46"/>
      <c r="V95" s="46">
        <v>56</v>
      </c>
      <c r="W95" s="46">
        <v>1870</v>
      </c>
      <c r="X95" s="10">
        <f>DEGREES(ATAN((W95-S95)/V95))</f>
        <v>3.0664855011258934</v>
      </c>
      <c r="Y95" s="52">
        <v>1870</v>
      </c>
      <c r="Z95" s="51">
        <v>98</v>
      </c>
      <c r="AA95" s="46"/>
      <c r="AB95" s="46"/>
      <c r="AC95" s="85">
        <v>10.7842978675626</v>
      </c>
      <c r="AD95" s="53">
        <v>866</v>
      </c>
      <c r="AE95" s="65">
        <f>0.0004*2</f>
        <v>8.0000000000000004E-4</v>
      </c>
      <c r="AF95" s="51">
        <v>503</v>
      </c>
      <c r="AG95" s="11">
        <f t="shared" si="82"/>
        <v>30.149365465604951</v>
      </c>
      <c r="AH95" s="50">
        <f t="shared" si="83"/>
        <v>32.803045273198258</v>
      </c>
      <c r="AI95" s="55"/>
      <c r="AJ95" s="4"/>
      <c r="AK95" s="4"/>
      <c r="AL95" s="75"/>
      <c r="AM95" s="75"/>
      <c r="AN95" s="55"/>
      <c r="AO95" s="110">
        <v>4</v>
      </c>
      <c r="AP95" s="53">
        <v>4</v>
      </c>
      <c r="AQ95" s="71">
        <f t="shared" si="84"/>
        <v>2</v>
      </c>
      <c r="AT95" s="18">
        <f t="shared" si="85"/>
        <v>32.803045273198258</v>
      </c>
      <c r="AU95" s="18">
        <f t="shared" si="86"/>
        <v>30.149365465604951</v>
      </c>
      <c r="AV95" s="18">
        <f t="shared" si="87"/>
        <v>2.6536798075933064</v>
      </c>
      <c r="AX95" s="18">
        <f t="shared" si="88"/>
        <v>30.952344860362658</v>
      </c>
      <c r="AY95" s="18">
        <f t="shared" si="89"/>
        <v>-0.80297939475770619</v>
      </c>
      <c r="BA95" s="17">
        <f t="shared" si="90"/>
        <v>495</v>
      </c>
      <c r="BB95" s="17">
        <f t="shared" si="91"/>
        <v>768</v>
      </c>
      <c r="BC95" s="5" t="str">
        <f t="shared" si="92"/>
        <v>40-45</v>
      </c>
      <c r="BD95" s="5" t="str">
        <f t="shared" si="93"/>
        <v>6EXP-4-8EXP-4</v>
      </c>
      <c r="BE95" s="5" t="str">
        <f t="shared" si="94"/>
        <v>300-600</v>
      </c>
      <c r="BF95" s="5" t="str">
        <f t="shared" si="95"/>
        <v>500-1000</v>
      </c>
      <c r="BG95" s="5" t="str">
        <f t="shared" si="96"/>
        <v>SE</v>
      </c>
      <c r="BH95" s="5" t="str">
        <f t="shared" si="97"/>
        <v>0-20</v>
      </c>
      <c r="BI95" s="5" t="str">
        <f t="shared" si="98"/>
        <v>&gt;42</v>
      </c>
      <c r="BK95" s="5">
        <f t="shared" si="99"/>
        <v>1</v>
      </c>
      <c r="BL95" s="5">
        <f t="shared" si="100"/>
        <v>1</v>
      </c>
      <c r="BM95" s="5">
        <f t="shared" si="101"/>
        <v>0</v>
      </c>
      <c r="BN95" s="5">
        <f t="shared" si="102"/>
        <v>1</v>
      </c>
      <c r="BO95" s="5">
        <f t="shared" si="103"/>
        <v>1</v>
      </c>
      <c r="BP95" s="5">
        <f t="shared" si="104"/>
        <v>1</v>
      </c>
      <c r="BQ95" s="5">
        <f t="shared" si="105"/>
        <v>0</v>
      </c>
      <c r="BR95" s="5">
        <f t="shared" si="106"/>
        <v>1</v>
      </c>
      <c r="BS95" s="5">
        <f t="shared" si="107"/>
        <v>1</v>
      </c>
      <c r="BU95" s="18">
        <f t="shared" si="108"/>
        <v>31.038962532937283</v>
      </c>
      <c r="BV95" s="18">
        <f t="shared" si="109"/>
        <v>-0.8895970673323319</v>
      </c>
      <c r="BW95" s="18">
        <f t="shared" si="110"/>
        <v>-2.5195970673323318</v>
      </c>
      <c r="BX95" s="18">
        <f t="shared" si="111"/>
        <v>0.74040293266766799</v>
      </c>
      <c r="BY95" s="5" t="str">
        <f t="shared" si="112"/>
        <v/>
      </c>
      <c r="CB95" s="18"/>
      <c r="CC95" s="18"/>
    </row>
    <row r="96" spans="1:81" s="47" customFormat="1" ht="9" customHeight="1" x14ac:dyDescent="0.15">
      <c r="A96" s="43" t="s">
        <v>256</v>
      </c>
      <c r="B96" s="44" t="s">
        <v>257</v>
      </c>
      <c r="C96" s="43" t="s">
        <v>154</v>
      </c>
      <c r="D96" s="48">
        <v>2</v>
      </c>
      <c r="E96" s="45">
        <v>225</v>
      </c>
      <c r="F96" s="8">
        <f>IF(E96&lt;22.5,1,IF(E96&lt;67.5,2,IF(E96&lt;112.5,3,IF(E96&lt;157.5,4,IF(E96&lt;202.5,5,IF(E96&lt;247.5,6,IF(E96&lt;292.5,7,IF(E96&lt;337.5,8,"1"))))))))</f>
        <v>6</v>
      </c>
      <c r="G96" s="45">
        <v>2870</v>
      </c>
      <c r="H96" s="49">
        <v>2500</v>
      </c>
      <c r="I96" s="49">
        <v>310</v>
      </c>
      <c r="J96" s="45">
        <v>148</v>
      </c>
      <c r="K96" s="85">
        <f t="shared" si="78"/>
        <v>34.045937356601662</v>
      </c>
      <c r="L96" s="11">
        <f t="shared" si="79"/>
        <v>11.47</v>
      </c>
      <c r="M96" s="10">
        <f t="shared" si="80"/>
        <v>4</v>
      </c>
      <c r="N96" s="4">
        <v>2071</v>
      </c>
      <c r="O96" s="90">
        <f t="shared" si="81"/>
        <v>58.141493542953391</v>
      </c>
      <c r="P96" s="46">
        <v>1</v>
      </c>
      <c r="Q96" s="46">
        <v>1275</v>
      </c>
      <c r="R96" s="46">
        <v>369</v>
      </c>
      <c r="S96" s="46">
        <v>1205</v>
      </c>
      <c r="T96" s="85">
        <f>DEGREES(ATAN((Q96-S96)/R96))</f>
        <v>10.74148125116136</v>
      </c>
      <c r="U96" s="59"/>
      <c r="V96" s="59"/>
      <c r="W96" s="59"/>
      <c r="X96" s="10"/>
      <c r="Y96" s="52">
        <v>1205</v>
      </c>
      <c r="Z96" s="51">
        <v>369</v>
      </c>
      <c r="AA96" s="46"/>
      <c r="AB96" s="46"/>
      <c r="AC96" s="85">
        <v>10.74148125116136</v>
      </c>
      <c r="AD96" s="53">
        <v>3562</v>
      </c>
      <c r="AE96" s="65">
        <f>0.00007*2</f>
        <v>1.3999999999999999E-4</v>
      </c>
      <c r="AF96" s="51">
        <v>1665</v>
      </c>
      <c r="AG96" s="11">
        <f t="shared" si="82"/>
        <v>25.052986689274654</v>
      </c>
      <c r="AH96" s="50">
        <f t="shared" si="83"/>
        <v>26.543514110238792</v>
      </c>
      <c r="AI96" s="55"/>
      <c r="AJ96" s="4"/>
      <c r="AK96" s="4"/>
      <c r="AL96" s="75"/>
      <c r="AM96" s="75"/>
      <c r="AN96" s="55"/>
      <c r="AO96" s="110">
        <v>4</v>
      </c>
      <c r="AP96" s="53">
        <v>4</v>
      </c>
      <c r="AQ96" s="71">
        <f t="shared" si="84"/>
        <v>2</v>
      </c>
      <c r="AT96" s="18">
        <f t="shared" si="85"/>
        <v>26.543514110238792</v>
      </c>
      <c r="AU96" s="18">
        <f t="shared" si="86"/>
        <v>25.052986689274654</v>
      </c>
      <c r="AV96" s="18">
        <f t="shared" si="87"/>
        <v>1.4905274209641384</v>
      </c>
      <c r="AX96" s="18">
        <f t="shared" si="88"/>
        <v>22.136505864883873</v>
      </c>
      <c r="AY96" s="18">
        <f t="shared" si="89"/>
        <v>2.9164808243907814</v>
      </c>
      <c r="BA96" s="17">
        <f t="shared" si="90"/>
        <v>1595</v>
      </c>
      <c r="BB96" s="17">
        <f t="shared" si="91"/>
        <v>3193</v>
      </c>
      <c r="BC96" s="5" t="str">
        <f t="shared" si="92"/>
        <v>30-35</v>
      </c>
      <c r="BD96" s="5" t="str">
        <f t="shared" si="93"/>
        <v>&lt;2EXP-4</v>
      </c>
      <c r="BE96" s="5" t="str">
        <f t="shared" si="94"/>
        <v>1200-1500</v>
      </c>
      <c r="BF96" s="5" t="str">
        <f t="shared" si="95"/>
        <v>&gt;2500</v>
      </c>
      <c r="BG96" s="5" t="str">
        <f t="shared" si="96"/>
        <v>NW</v>
      </c>
      <c r="BH96" s="5" t="str">
        <f t="shared" si="97"/>
        <v>40-60</v>
      </c>
      <c r="BI96" s="5" t="str">
        <f t="shared" si="98"/>
        <v>34-36</v>
      </c>
      <c r="BK96" s="5">
        <f t="shared" si="99"/>
        <v>1</v>
      </c>
      <c r="BL96" s="5">
        <f t="shared" si="100"/>
        <v>0</v>
      </c>
      <c r="BM96" s="5">
        <f t="shared" si="101"/>
        <v>1</v>
      </c>
      <c r="BN96" s="5">
        <f t="shared" si="102"/>
        <v>0</v>
      </c>
      <c r="BO96" s="5">
        <f t="shared" si="103"/>
        <v>0</v>
      </c>
      <c r="BP96" s="5">
        <f t="shared" si="104"/>
        <v>0</v>
      </c>
      <c r="BQ96" s="5">
        <f t="shared" si="105"/>
        <v>1</v>
      </c>
      <c r="BR96" s="5">
        <f t="shared" si="106"/>
        <v>1</v>
      </c>
      <c r="BS96" s="5">
        <f t="shared" si="107"/>
        <v>1</v>
      </c>
      <c r="BU96" s="18">
        <f t="shared" si="108"/>
        <v>24.719190116830543</v>
      </c>
      <c r="BV96" s="18">
        <f t="shared" si="109"/>
        <v>0.33379657244411121</v>
      </c>
      <c r="BW96" s="18">
        <f t="shared" si="110"/>
        <v>-1.2962034275558887</v>
      </c>
      <c r="BX96" s="18">
        <f t="shared" si="111"/>
        <v>1.9637965724441111</v>
      </c>
      <c r="BY96" s="5" t="str">
        <f t="shared" si="112"/>
        <v/>
      </c>
      <c r="CB96" s="18"/>
      <c r="CC96" s="18"/>
    </row>
    <row r="97" spans="1:81" s="47" customFormat="1" ht="9" customHeight="1" x14ac:dyDescent="0.15">
      <c r="A97" s="60" t="s">
        <v>250</v>
      </c>
      <c r="B97" s="44" t="s">
        <v>251</v>
      </c>
      <c r="C97" s="60" t="s">
        <v>252</v>
      </c>
      <c r="D97" s="48">
        <v>5</v>
      </c>
      <c r="E97" s="49">
        <v>235</v>
      </c>
      <c r="F97" s="8">
        <f>IF(E97&lt;22.5,1,IF(E97&lt;67.5,2,IF(E97&lt;112.5,3,IF(E97&lt;157.5,4,IF(E97&lt;202.5,5,IF(E97&lt;247.5,6,IF(E97&lt;292.5,7,IF(E97&lt;337.5,8,"1"))))))))</f>
        <v>6</v>
      </c>
      <c r="G97" s="47">
        <v>2700</v>
      </c>
      <c r="H97" s="58">
        <v>2450</v>
      </c>
      <c r="I97" s="58">
        <v>313</v>
      </c>
      <c r="J97" s="45">
        <v>188</v>
      </c>
      <c r="K97" s="85">
        <f t="shared" si="78"/>
        <v>28.009176708013833</v>
      </c>
      <c r="L97" s="11">
        <f t="shared" si="79"/>
        <v>7.8250000000000002</v>
      </c>
      <c r="M97" s="10">
        <f t="shared" si="80"/>
        <v>4</v>
      </c>
      <c r="N97" s="4">
        <v>146</v>
      </c>
      <c r="O97" s="90">
        <f t="shared" si="81"/>
        <v>8.444187391555813</v>
      </c>
      <c r="P97" s="46">
        <v>1</v>
      </c>
      <c r="Q97" s="46">
        <v>2015</v>
      </c>
      <c r="R97" s="56">
        <v>335</v>
      </c>
      <c r="S97" s="56">
        <v>1965</v>
      </c>
      <c r="T97" s="85">
        <f>DEGREES(ATAN((Q97-S97)/R97))</f>
        <v>8.488943880504717</v>
      </c>
      <c r="U97" s="56"/>
      <c r="V97" s="56"/>
      <c r="W97" s="56"/>
      <c r="X97" s="10"/>
      <c r="Y97" s="52">
        <v>1965</v>
      </c>
      <c r="Z97" s="51">
        <v>335</v>
      </c>
      <c r="AA97" s="46"/>
      <c r="AB97" s="46"/>
      <c r="AC97" s="85">
        <v>8.488943880504717</v>
      </c>
      <c r="AD97" s="45">
        <v>1729</v>
      </c>
      <c r="AE97" s="65">
        <f>0.0002*2</f>
        <v>4.0000000000000002E-4</v>
      </c>
      <c r="AF97" s="51">
        <v>735</v>
      </c>
      <c r="AG97" s="11">
        <f t="shared" si="82"/>
        <v>23.030403777012626</v>
      </c>
      <c r="AH97" s="50">
        <f t="shared" si="83"/>
        <v>26.169117742018809</v>
      </c>
      <c r="AI97" s="55"/>
      <c r="AJ97" s="4"/>
      <c r="AK97" s="4"/>
      <c r="AL97" s="75"/>
      <c r="AM97" s="75"/>
      <c r="AN97" s="57"/>
      <c r="AO97" s="110">
        <v>4</v>
      </c>
      <c r="AP97" s="53">
        <v>4</v>
      </c>
      <c r="AQ97" s="71">
        <f t="shared" si="84"/>
        <v>2</v>
      </c>
      <c r="AT97" s="18">
        <f t="shared" si="85"/>
        <v>26.169117742018809</v>
      </c>
      <c r="AU97" s="18">
        <f t="shared" si="86"/>
        <v>23.030403777012626</v>
      </c>
      <c r="AV97" s="18">
        <f t="shared" si="87"/>
        <v>3.1387139650061826</v>
      </c>
      <c r="AX97" s="18">
        <f t="shared" si="88"/>
        <v>23.681220661354487</v>
      </c>
      <c r="AY97" s="18">
        <f t="shared" si="89"/>
        <v>-0.65081688434186091</v>
      </c>
      <c r="BA97" s="17">
        <f t="shared" si="90"/>
        <v>685</v>
      </c>
      <c r="BB97" s="17">
        <f t="shared" si="91"/>
        <v>1394</v>
      </c>
      <c r="BC97" s="5" t="str">
        <f t="shared" si="92"/>
        <v>25-30</v>
      </c>
      <c r="BD97" s="5" t="str">
        <f t="shared" si="93"/>
        <v>4EXP-4-6EXP-4</v>
      </c>
      <c r="BE97" s="5" t="str">
        <f t="shared" si="94"/>
        <v>600-900</v>
      </c>
      <c r="BF97" s="5" t="str">
        <f t="shared" si="95"/>
        <v>1500-2000</v>
      </c>
      <c r="BG97" s="5" t="str">
        <f t="shared" si="96"/>
        <v>NW</v>
      </c>
      <c r="BH97" s="5" t="str">
        <f t="shared" si="97"/>
        <v>0-20</v>
      </c>
      <c r="BI97" s="5" t="str">
        <f t="shared" si="98"/>
        <v>25-30</v>
      </c>
      <c r="BK97" s="5">
        <f t="shared" si="99"/>
        <v>0</v>
      </c>
      <c r="BL97" s="5">
        <f t="shared" si="100"/>
        <v>0</v>
      </c>
      <c r="BM97" s="5">
        <f t="shared" si="101"/>
        <v>1</v>
      </c>
      <c r="BN97" s="5">
        <f t="shared" si="102"/>
        <v>1</v>
      </c>
      <c r="BO97" s="5">
        <f t="shared" si="103"/>
        <v>0</v>
      </c>
      <c r="BP97" s="5">
        <f t="shared" si="104"/>
        <v>0</v>
      </c>
      <c r="BQ97" s="5">
        <f t="shared" si="105"/>
        <v>1</v>
      </c>
      <c r="BR97" s="5">
        <f t="shared" si="106"/>
        <v>1</v>
      </c>
      <c r="BS97" s="5">
        <f t="shared" si="107"/>
        <v>1</v>
      </c>
      <c r="BU97" s="18">
        <f t="shared" si="108"/>
        <v>23.087713899526673</v>
      </c>
      <c r="BV97" s="18">
        <f t="shared" si="109"/>
        <v>-5.7310122514046213E-2</v>
      </c>
      <c r="BW97" s="18">
        <f t="shared" si="110"/>
        <v>-1.6873101225140461</v>
      </c>
      <c r="BX97" s="18">
        <f t="shared" si="111"/>
        <v>1.5726898774859537</v>
      </c>
      <c r="BY97" s="5" t="str">
        <f t="shared" si="112"/>
        <v/>
      </c>
      <c r="CB97" s="18"/>
      <c r="CC97" s="18"/>
    </row>
    <row r="98" spans="1:81" s="93" customFormat="1" ht="9" customHeight="1" thickBot="1" x14ac:dyDescent="0.2">
      <c r="A98" s="113" t="s">
        <v>287</v>
      </c>
      <c r="B98" s="114" t="str">
        <f>MID(A98,1,6)</f>
        <v>VFR887</v>
      </c>
      <c r="C98" s="115" t="s">
        <v>288</v>
      </c>
      <c r="D98" s="116">
        <v>2</v>
      </c>
      <c r="E98" s="117">
        <v>146</v>
      </c>
      <c r="F98" s="92">
        <f>IF(E98&lt;22.5,1,IF(E98&lt;67.5,2,IF(E98&lt;112.5,3,IF(E98&lt;157.5,4,IF(E98&lt;202.5,5,IF(E98&lt;247.5,6,IF(E98&lt;292.5,7,IF(E98&lt;337.5,8,"1"))))))))</f>
        <v>4</v>
      </c>
      <c r="G98" s="101">
        <v>2325</v>
      </c>
      <c r="H98" s="91">
        <v>2200</v>
      </c>
      <c r="I98" s="91">
        <v>139</v>
      </c>
      <c r="J98" s="93">
        <v>154</v>
      </c>
      <c r="K98" s="94">
        <f t="shared" ref="K98" si="117">DEGREES(ATAN((100)/J98))</f>
        <v>32.99770510121629</v>
      </c>
      <c r="L98" s="95">
        <f t="shared" si="79"/>
        <v>1.7375</v>
      </c>
      <c r="M98" s="99">
        <f t="shared" ref="M98" si="118">IF((L98*10000)&lt;5000,1,IF((L98*10000)&lt;25000,2,IF((L98*10000)&lt;60000,3,4)))</f>
        <v>2</v>
      </c>
      <c r="N98" s="96">
        <v>1435</v>
      </c>
      <c r="O98" s="97">
        <f t="shared" ref="O98" si="119">(N98/AD98)*100</f>
        <v>83.478766724840028</v>
      </c>
      <c r="P98" s="96">
        <v>3</v>
      </c>
      <c r="Q98" s="96">
        <v>1420</v>
      </c>
      <c r="R98" s="96"/>
      <c r="S98" s="96">
        <v>1420</v>
      </c>
      <c r="T98" s="94"/>
      <c r="U98" s="96"/>
      <c r="V98" s="96">
        <v>87</v>
      </c>
      <c r="W98" s="96">
        <v>1427</v>
      </c>
      <c r="X98" s="99">
        <f>DEGREES(ATAN((W98-S98)/V98))</f>
        <v>4.6000956662632797</v>
      </c>
      <c r="Y98" s="121">
        <v>1427</v>
      </c>
      <c r="Z98" s="100">
        <f>R98+V98-U98</f>
        <v>87</v>
      </c>
      <c r="AA98" s="98"/>
      <c r="AB98" s="98"/>
      <c r="AC98" s="94"/>
      <c r="AD98" s="101">
        <v>1719</v>
      </c>
      <c r="AE98" s="101">
        <f>1*(POWER(10,-4))*2</f>
        <v>2.0000000000000001E-4</v>
      </c>
      <c r="AF98" s="102">
        <f>G98-S98</f>
        <v>905</v>
      </c>
      <c r="AG98" s="95">
        <f t="shared" ref="AG98" si="120">DEGREES(ATAN((AF98)/AD98))</f>
        <v>27.765408786819016</v>
      </c>
      <c r="AH98" s="103">
        <f t="shared" si="83"/>
        <v>29.00987206774003</v>
      </c>
      <c r="AI98" s="104"/>
      <c r="AJ98" s="96"/>
      <c r="AK98" s="96"/>
      <c r="AL98" s="105"/>
      <c r="AM98" s="105"/>
      <c r="AN98" s="104"/>
      <c r="AO98" s="96">
        <v>4</v>
      </c>
      <c r="AP98" s="101">
        <v>4</v>
      </c>
      <c r="AQ98" s="106">
        <f t="shared" ref="AQ98" si="121">IF(AP98=1,1,IF(AP98=2,1,IF(AP98=3,2,IF(AP98=4,2,IF(AP98=5,2,3)))))</f>
        <v>2</v>
      </c>
      <c r="AT98" s="107">
        <f t="shared" si="85"/>
        <v>29.00987206774003</v>
      </c>
      <c r="AU98" s="107">
        <f t="shared" si="86"/>
        <v>27.765408786819016</v>
      </c>
      <c r="AV98" s="18">
        <f t="shared" ref="AV98" si="122">AT98-AU98</f>
        <v>1.2444632809210141</v>
      </c>
      <c r="AX98" s="107">
        <f t="shared" si="88"/>
        <v>27.178601492159821</v>
      </c>
      <c r="AY98" s="107">
        <f t="shared" ref="AY98" si="123">AU98-AX98</f>
        <v>0.58680729465919512</v>
      </c>
      <c r="BA98" s="17">
        <f t="shared" si="90"/>
        <v>905</v>
      </c>
      <c r="BB98" s="17">
        <f t="shared" si="91"/>
        <v>1632</v>
      </c>
      <c r="BC98" s="101" t="str">
        <f t="shared" si="92"/>
        <v>30-35</v>
      </c>
      <c r="BD98" s="5" t="str">
        <f t="shared" si="93"/>
        <v>2EXP-4-4EXP-4</v>
      </c>
      <c r="BE98" s="5" t="str">
        <f t="shared" si="94"/>
        <v>900-1200</v>
      </c>
      <c r="BF98" s="5" t="str">
        <f t="shared" si="95"/>
        <v>1500-2000</v>
      </c>
      <c r="BG98" s="5" t="str">
        <f t="shared" si="96"/>
        <v>SE</v>
      </c>
      <c r="BH98" s="5" t="str">
        <f t="shared" si="97"/>
        <v>80-100</v>
      </c>
      <c r="BI98" s="5" t="str">
        <f t="shared" si="98"/>
        <v>30-32</v>
      </c>
      <c r="BK98" s="5">
        <f t="shared" si="99"/>
        <v>1</v>
      </c>
      <c r="BL98" s="5">
        <f t="shared" si="100"/>
        <v>0</v>
      </c>
      <c r="BM98" s="5">
        <f t="shared" si="101"/>
        <v>1</v>
      </c>
      <c r="BN98" s="5">
        <f t="shared" si="102"/>
        <v>1</v>
      </c>
      <c r="BO98" s="5">
        <f t="shared" si="103"/>
        <v>1</v>
      </c>
      <c r="BP98" s="5">
        <f t="shared" si="104"/>
        <v>1</v>
      </c>
      <c r="BQ98" s="5">
        <f t="shared" si="105"/>
        <v>0</v>
      </c>
      <c r="BR98" s="5">
        <f t="shared" si="106"/>
        <v>0</v>
      </c>
      <c r="BS98" s="5">
        <f t="shared" si="107"/>
        <v>1</v>
      </c>
      <c r="BU98" s="18">
        <f t="shared" si="108"/>
        <v>27.910781121994329</v>
      </c>
      <c r="BV98" s="18">
        <f t="shared" ref="BV98" si="124">AU98-BU98</f>
        <v>-0.14537233517531334</v>
      </c>
      <c r="BW98" s="18">
        <f t="shared" ref="BW98" si="125">BV98-1.63</f>
        <v>-1.7753723351753132</v>
      </c>
      <c r="BX98" s="18">
        <f t="shared" si="111"/>
        <v>1.4846276648246866</v>
      </c>
      <c r="BY98" s="5" t="str">
        <f t="shared" ref="BY98" si="126">IF(BW98&gt;0,1,IF(BX98&lt;0,0,""))</f>
        <v/>
      </c>
      <c r="CB98" s="18"/>
      <c r="CC98" s="18" t="str">
        <f>IF($BG98=CC$1,$AI98," ")</f>
        <v xml:space="preserve"> </v>
      </c>
    </row>
    <row r="99" spans="1:81" x14ac:dyDescent="0.25">
      <c r="L99" s="11"/>
    </row>
    <row r="100" spans="1:81" x14ac:dyDescent="0.25">
      <c r="L100" s="11"/>
    </row>
    <row r="101" spans="1:81" x14ac:dyDescent="0.25">
      <c r="L101" s="11"/>
    </row>
    <row r="102" spans="1:81" x14ac:dyDescent="0.25">
      <c r="L102" s="11"/>
    </row>
  </sheetData>
  <sortState ref="A2:CC98">
    <sortCondition ref="A2:A9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0"/>
  <sheetViews>
    <sheetView tabSelected="1" workbookViewId="0">
      <selection activeCell="L3" sqref="L3"/>
    </sheetView>
  </sheetViews>
  <sheetFormatPr baseColWidth="10" defaultRowHeight="12.75" customHeight="1" x14ac:dyDescent="0.2"/>
  <cols>
    <col min="1" max="3" width="11.42578125" style="127"/>
    <col min="4" max="16" width="6.7109375" style="126" customWidth="1"/>
    <col min="17" max="16384" width="11.42578125" style="126"/>
  </cols>
  <sheetData>
    <row r="1" spans="1:17" s="133" customFormat="1" ht="27" customHeight="1" x14ac:dyDescent="0.25">
      <c r="A1" s="130" t="s">
        <v>321</v>
      </c>
      <c r="B1" s="130" t="s">
        <v>335</v>
      </c>
      <c r="C1" s="130" t="s">
        <v>336</v>
      </c>
      <c r="D1" s="131" t="s">
        <v>322</v>
      </c>
      <c r="E1" s="131" t="s">
        <v>323</v>
      </c>
      <c r="F1" s="131" t="s">
        <v>324</v>
      </c>
      <c r="G1" s="132" t="s">
        <v>325</v>
      </c>
      <c r="H1" s="132" t="s">
        <v>326</v>
      </c>
      <c r="I1" s="132" t="s">
        <v>327</v>
      </c>
      <c r="J1" s="132" t="s">
        <v>328</v>
      </c>
      <c r="K1" s="132" t="s">
        <v>329</v>
      </c>
      <c r="L1" s="132" t="s">
        <v>330</v>
      </c>
      <c r="M1" s="132" t="s">
        <v>331</v>
      </c>
      <c r="N1" s="132" t="s">
        <v>332</v>
      </c>
      <c r="O1" s="132" t="s">
        <v>333</v>
      </c>
      <c r="P1" s="132" t="s">
        <v>334</v>
      </c>
      <c r="Q1" s="132"/>
    </row>
    <row r="2" spans="1:17" ht="12.75" customHeight="1" x14ac:dyDescent="0.2">
      <c r="A2" s="128" t="s">
        <v>210</v>
      </c>
      <c r="B2" s="143">
        <v>368590.88</v>
      </c>
      <c r="C2" s="143">
        <v>4720452.7</v>
      </c>
      <c r="D2" s="134">
        <v>26.650823238025115</v>
      </c>
      <c r="E2" s="134">
        <v>26.429880022338335</v>
      </c>
      <c r="F2" s="134">
        <v>32.828541791412533</v>
      </c>
      <c r="G2" s="135">
        <v>4.0000000000000002E-4</v>
      </c>
      <c r="H2" s="129">
        <v>675</v>
      </c>
      <c r="I2" s="129">
        <v>1358</v>
      </c>
      <c r="J2" s="129">
        <v>1</v>
      </c>
      <c r="K2" s="136">
        <v>1.2625</v>
      </c>
      <c r="L2" s="129">
        <v>280</v>
      </c>
      <c r="M2" s="137">
        <v>65.992509363295881</v>
      </c>
      <c r="N2" s="129">
        <v>2</v>
      </c>
      <c r="O2" s="137">
        <v>28.239700374531836</v>
      </c>
      <c r="P2" s="129">
        <v>955</v>
      </c>
    </row>
    <row r="3" spans="1:17" ht="12.75" customHeight="1" x14ac:dyDescent="0.2">
      <c r="A3" s="128" t="s">
        <v>0</v>
      </c>
      <c r="B3" s="143">
        <v>349712.38</v>
      </c>
      <c r="C3" s="143">
        <v>4716800.6299999896</v>
      </c>
      <c r="D3" s="134">
        <v>24.691558163478064</v>
      </c>
      <c r="E3" s="134">
        <v>26.286580565322364</v>
      </c>
      <c r="F3" s="134">
        <v>38.659808254090095</v>
      </c>
      <c r="G3" s="135">
        <v>4.0000000000000002E-4</v>
      </c>
      <c r="H3" s="129">
        <v>815</v>
      </c>
      <c r="I3" s="129">
        <v>1650</v>
      </c>
      <c r="J3" s="129">
        <v>1</v>
      </c>
      <c r="K3" s="136">
        <v>2.5992999999999999</v>
      </c>
      <c r="L3" s="129">
        <v>190</v>
      </c>
      <c r="M3" s="137">
        <v>62.50684181718664</v>
      </c>
      <c r="N3" s="129">
        <v>2</v>
      </c>
      <c r="O3" s="137"/>
      <c r="P3" s="129"/>
    </row>
    <row r="4" spans="1:17" ht="12.75" customHeight="1" x14ac:dyDescent="0.2">
      <c r="A4" s="128" t="s">
        <v>3</v>
      </c>
      <c r="B4" s="143">
        <v>339784.2</v>
      </c>
      <c r="C4" s="143">
        <v>4722848.07</v>
      </c>
      <c r="D4" s="134">
        <v>30.908061988727649</v>
      </c>
      <c r="E4" s="134">
        <v>32.887930405154577</v>
      </c>
      <c r="F4" s="134">
        <v>31.686367687856603</v>
      </c>
      <c r="G4" s="135">
        <v>2.0000000000000001E-4</v>
      </c>
      <c r="H4" s="129">
        <v>710</v>
      </c>
      <c r="I4" s="129">
        <v>1098</v>
      </c>
      <c r="J4" s="129">
        <v>1</v>
      </c>
      <c r="K4" s="136">
        <v>4.6399999999999997</v>
      </c>
      <c r="L4" s="129">
        <v>175</v>
      </c>
      <c r="M4" s="137">
        <v>0</v>
      </c>
      <c r="N4" s="129">
        <v>1</v>
      </c>
      <c r="O4" s="137"/>
      <c r="P4" s="129"/>
    </row>
    <row r="5" spans="1:17" ht="12.75" customHeight="1" x14ac:dyDescent="0.2">
      <c r="A5" s="128" t="s">
        <v>296</v>
      </c>
      <c r="B5" s="143">
        <v>384502.76</v>
      </c>
      <c r="C5" s="143">
        <v>4697857.2999999896</v>
      </c>
      <c r="D5" s="134">
        <v>24.348689710335581</v>
      </c>
      <c r="E5" s="134">
        <v>24.527720480258079</v>
      </c>
      <c r="F5" s="134">
        <v>32.99770510121629</v>
      </c>
      <c r="G5" s="135">
        <v>4.0000000000000002E-4</v>
      </c>
      <c r="H5" s="129">
        <v>470</v>
      </c>
      <c r="I5" s="129">
        <v>1030</v>
      </c>
      <c r="J5" s="129">
        <v>1</v>
      </c>
      <c r="K5" s="136">
        <v>2.9249999999999998</v>
      </c>
      <c r="L5" s="129">
        <v>270</v>
      </c>
      <c r="M5" s="137">
        <v>44.29530201342282</v>
      </c>
      <c r="N5" s="129">
        <v>2</v>
      </c>
      <c r="O5" s="137"/>
      <c r="P5" s="129"/>
    </row>
    <row r="6" spans="1:17" ht="12.75" customHeight="1" x14ac:dyDescent="0.2">
      <c r="A6" s="128" t="s">
        <v>9</v>
      </c>
      <c r="B6" s="143">
        <v>365090.51</v>
      </c>
      <c r="C6" s="143">
        <v>4709220.2699999902</v>
      </c>
      <c r="D6" s="134">
        <v>22.586010201618134</v>
      </c>
      <c r="E6" s="134">
        <v>23.360717357429767</v>
      </c>
      <c r="F6" s="134">
        <v>28.654314061927188</v>
      </c>
      <c r="G6" s="135">
        <v>4.0000000000000002E-4</v>
      </c>
      <c r="H6" s="129">
        <v>460</v>
      </c>
      <c r="I6" s="129">
        <v>1065</v>
      </c>
      <c r="J6" s="129">
        <v>1</v>
      </c>
      <c r="K6" s="136">
        <v>3.3925000000000001</v>
      </c>
      <c r="L6" s="129">
        <v>50</v>
      </c>
      <c r="M6" s="137">
        <v>0</v>
      </c>
      <c r="N6" s="129">
        <v>2</v>
      </c>
      <c r="O6" s="137">
        <v>41.514143094841934</v>
      </c>
      <c r="P6" s="129">
        <v>699</v>
      </c>
    </row>
    <row r="7" spans="1:17" ht="12.75" customHeight="1" x14ac:dyDescent="0.2">
      <c r="A7" s="138" t="s">
        <v>12</v>
      </c>
      <c r="B7" s="143">
        <v>365955.09</v>
      </c>
      <c r="C7" s="143">
        <v>4709077.78</v>
      </c>
      <c r="D7" s="134">
        <v>22.17002617790429</v>
      </c>
      <c r="E7" s="134">
        <v>23.765067020403777</v>
      </c>
      <c r="F7" s="134">
        <v>29.054604099077146</v>
      </c>
      <c r="G7" s="135">
        <v>4.0000000000000002E-4</v>
      </c>
      <c r="H7" s="129">
        <v>380</v>
      </c>
      <c r="I7" s="129">
        <v>863</v>
      </c>
      <c r="J7" s="129">
        <v>1</v>
      </c>
      <c r="K7" s="136">
        <v>1.081</v>
      </c>
      <c r="L7" s="129">
        <v>344</v>
      </c>
      <c r="M7" s="137">
        <v>0</v>
      </c>
      <c r="N7" s="129">
        <v>2</v>
      </c>
      <c r="O7" s="137">
        <v>53.589484327603643</v>
      </c>
      <c r="P7" s="129">
        <v>259</v>
      </c>
    </row>
    <row r="8" spans="1:17" ht="12.75" customHeight="1" x14ac:dyDescent="0.2">
      <c r="A8" s="128" t="s">
        <v>14</v>
      </c>
      <c r="B8" s="143">
        <v>366316.37</v>
      </c>
      <c r="C8" s="143">
        <v>4708879.6699999897</v>
      </c>
      <c r="D8" s="134">
        <v>23.805943518457717</v>
      </c>
      <c r="E8" s="134">
        <v>19.946999059973518</v>
      </c>
      <c r="F8" s="134">
        <v>32.33018573505035</v>
      </c>
      <c r="G8" s="135">
        <v>1.2E-4</v>
      </c>
      <c r="H8" s="129">
        <v>740</v>
      </c>
      <c r="I8" s="129">
        <v>2039</v>
      </c>
      <c r="J8" s="129">
        <v>1</v>
      </c>
      <c r="K8" s="136">
        <v>1.845</v>
      </c>
      <c r="L8" s="129">
        <v>54</v>
      </c>
      <c r="M8" s="137">
        <v>36.004056795131845</v>
      </c>
      <c r="N8" s="129">
        <v>2</v>
      </c>
      <c r="O8" s="137">
        <v>7.7079107505070992</v>
      </c>
      <c r="P8" s="129">
        <v>705</v>
      </c>
    </row>
    <row r="9" spans="1:17" ht="12.75" customHeight="1" x14ac:dyDescent="0.2">
      <c r="A9" s="128" t="s">
        <v>214</v>
      </c>
      <c r="B9" s="143">
        <v>339008.64</v>
      </c>
      <c r="C9" s="143">
        <v>4715406.0899999896</v>
      </c>
      <c r="D9" s="134">
        <v>33.033433792504262</v>
      </c>
      <c r="E9" s="134">
        <v>33.033433792504262</v>
      </c>
      <c r="F9" s="134">
        <v>39.571902813889267</v>
      </c>
      <c r="G9" s="135">
        <v>2.0000000000000001E-4</v>
      </c>
      <c r="H9" s="129">
        <v>1095</v>
      </c>
      <c r="I9" s="129">
        <v>1684</v>
      </c>
      <c r="J9" s="129">
        <v>1</v>
      </c>
      <c r="K9" s="136">
        <v>0.8125</v>
      </c>
      <c r="L9" s="129">
        <v>360</v>
      </c>
      <c r="M9" s="137">
        <v>16.983372921615203</v>
      </c>
      <c r="N9" s="129">
        <v>2</v>
      </c>
      <c r="O9" s="137">
        <v>10.095011876484561</v>
      </c>
      <c r="P9" s="129">
        <v>689</v>
      </c>
    </row>
    <row r="10" spans="1:17" ht="12.75" customHeight="1" x14ac:dyDescent="0.2">
      <c r="A10" s="128" t="s">
        <v>17</v>
      </c>
      <c r="B10" s="143">
        <v>341257.03</v>
      </c>
      <c r="C10" s="143">
        <v>4712204.46</v>
      </c>
      <c r="D10" s="134">
        <v>20.300574462939771</v>
      </c>
      <c r="E10" s="134">
        <v>22.250327552790701</v>
      </c>
      <c r="F10" s="134">
        <v>33.168420821259481</v>
      </c>
      <c r="G10" s="135">
        <v>2.0000000000000001E-4</v>
      </c>
      <c r="H10" s="129">
        <v>700</v>
      </c>
      <c r="I10" s="129">
        <v>1711</v>
      </c>
      <c r="J10" s="129">
        <v>1</v>
      </c>
      <c r="K10" s="136">
        <v>11.3155</v>
      </c>
      <c r="L10" s="129">
        <v>64</v>
      </c>
      <c r="M10" s="137">
        <v>22.485493230174079</v>
      </c>
      <c r="N10" s="129">
        <v>2</v>
      </c>
      <c r="O10" s="137"/>
      <c r="P10" s="129"/>
    </row>
    <row r="11" spans="1:17" ht="12.75" customHeight="1" x14ac:dyDescent="0.2">
      <c r="A11" s="128" t="s">
        <v>20</v>
      </c>
      <c r="B11" s="143">
        <v>332900.09999999899</v>
      </c>
      <c r="C11" s="143">
        <v>4701119.6399999904</v>
      </c>
      <c r="D11" s="134">
        <v>26.175935582556686</v>
      </c>
      <c r="E11" s="134">
        <v>26.21313929393866</v>
      </c>
      <c r="F11" s="134">
        <v>38.884496433714595</v>
      </c>
      <c r="G11" s="135">
        <v>1.2E-5</v>
      </c>
      <c r="H11" s="129">
        <v>1190</v>
      </c>
      <c r="I11" s="129">
        <v>2417</v>
      </c>
      <c r="J11" s="129">
        <v>1</v>
      </c>
      <c r="K11" s="136">
        <v>6.1875</v>
      </c>
      <c r="L11" s="129">
        <v>80</v>
      </c>
      <c r="M11" s="137">
        <v>63.062319438712343</v>
      </c>
      <c r="N11" s="129">
        <v>2</v>
      </c>
      <c r="O11" s="137"/>
      <c r="P11" s="129"/>
    </row>
    <row r="12" spans="1:17" ht="12.75" customHeight="1" x14ac:dyDescent="0.2">
      <c r="A12" s="128" t="s">
        <v>217</v>
      </c>
      <c r="B12" s="143">
        <v>336037.88</v>
      </c>
      <c r="C12" s="143">
        <v>4706360.4699999904</v>
      </c>
      <c r="D12" s="134">
        <v>27.434115367071115</v>
      </c>
      <c r="E12" s="134">
        <v>28.96221150095251</v>
      </c>
      <c r="F12" s="134">
        <v>40.520539547649726</v>
      </c>
      <c r="G12" s="135">
        <v>1.8000000000000001E-4</v>
      </c>
      <c r="H12" s="129">
        <v>875</v>
      </c>
      <c r="I12" s="129">
        <v>1581</v>
      </c>
      <c r="J12" s="129">
        <v>1</v>
      </c>
      <c r="K12" s="136">
        <v>9.6300000000000008</v>
      </c>
      <c r="L12" s="129">
        <v>210</v>
      </c>
      <c r="M12" s="137">
        <v>56.025867136978249</v>
      </c>
      <c r="N12" s="129">
        <v>2</v>
      </c>
      <c r="O12" s="137"/>
      <c r="P12" s="129"/>
    </row>
    <row r="13" spans="1:17" ht="12.75" customHeight="1" x14ac:dyDescent="0.2">
      <c r="A13" s="128" t="s">
        <v>23</v>
      </c>
      <c r="B13" s="143">
        <v>433908.34</v>
      </c>
      <c r="C13" s="143">
        <v>4681600.5499999896</v>
      </c>
      <c r="D13" s="134">
        <v>24.598766020841968</v>
      </c>
      <c r="E13" s="134">
        <v>24.166629842985486</v>
      </c>
      <c r="F13" s="134">
        <v>32.99770510121629</v>
      </c>
      <c r="G13" s="135">
        <v>2.0000000000000001E-4</v>
      </c>
      <c r="H13" s="129">
        <v>770</v>
      </c>
      <c r="I13" s="129">
        <v>1716</v>
      </c>
      <c r="J13" s="129">
        <v>1</v>
      </c>
      <c r="K13" s="136">
        <v>4.2300000000000004</v>
      </c>
      <c r="L13" s="129">
        <v>240</v>
      </c>
      <c r="M13" s="137">
        <v>68.521843207660083</v>
      </c>
      <c r="N13" s="129">
        <v>3</v>
      </c>
      <c r="O13" s="137"/>
      <c r="P13" s="129"/>
    </row>
    <row r="14" spans="1:17" ht="12.75" customHeight="1" x14ac:dyDescent="0.2">
      <c r="A14" s="128" t="s">
        <v>185</v>
      </c>
      <c r="B14" s="143">
        <v>435651.81</v>
      </c>
      <c r="C14" s="143">
        <v>4691567.5</v>
      </c>
      <c r="D14" s="134">
        <v>26.423068026294693</v>
      </c>
      <c r="E14" s="134">
        <v>30.705281084718752</v>
      </c>
      <c r="F14" s="134">
        <v>40.279863068956445</v>
      </c>
      <c r="G14" s="135">
        <v>4.0000000000000002E-4</v>
      </c>
      <c r="H14" s="129">
        <v>990</v>
      </c>
      <c r="I14" s="129">
        <v>1667</v>
      </c>
      <c r="J14" s="129">
        <v>2</v>
      </c>
      <c r="K14" s="136">
        <v>13.3245</v>
      </c>
      <c r="L14" s="129">
        <v>330</v>
      </c>
      <c r="M14" s="137">
        <v>50.071394574012373</v>
      </c>
      <c r="N14" s="129">
        <v>3</v>
      </c>
      <c r="O14" s="137">
        <v>35.364112327463118</v>
      </c>
      <c r="P14" s="129">
        <v>911</v>
      </c>
    </row>
    <row r="15" spans="1:17" ht="12.75" customHeight="1" x14ac:dyDescent="0.2">
      <c r="A15" s="128" t="s">
        <v>219</v>
      </c>
      <c r="B15" s="143">
        <v>430598.31</v>
      </c>
      <c r="C15" s="143">
        <v>4690717.8099999903</v>
      </c>
      <c r="D15" s="134">
        <v>33.954605943282566</v>
      </c>
      <c r="E15" s="134">
        <v>34.412244987524602</v>
      </c>
      <c r="F15" s="134">
        <v>29.465221384766682</v>
      </c>
      <c r="G15" s="135">
        <v>1.8000000000000001E-4</v>
      </c>
      <c r="H15" s="129">
        <v>970</v>
      </c>
      <c r="I15" s="129">
        <v>1416</v>
      </c>
      <c r="J15" s="129">
        <v>1</v>
      </c>
      <c r="K15" s="136">
        <v>9.3279999999999994</v>
      </c>
      <c r="L15" s="129">
        <v>120</v>
      </c>
      <c r="M15" s="137">
        <v>48.166089965397923</v>
      </c>
      <c r="N15" s="129">
        <v>3</v>
      </c>
      <c r="O15" s="137"/>
      <c r="P15" s="129"/>
    </row>
    <row r="16" spans="1:17" ht="12.75" customHeight="1" x14ac:dyDescent="0.2">
      <c r="A16" s="128" t="s">
        <v>27</v>
      </c>
      <c r="B16" s="143">
        <v>309682.46999999898</v>
      </c>
      <c r="C16" s="143">
        <v>4741138.2199999904</v>
      </c>
      <c r="D16" s="134">
        <v>24.975656048653068</v>
      </c>
      <c r="E16" s="134">
        <v>25.763503172559272</v>
      </c>
      <c r="F16" s="134">
        <v>31.528988037753418</v>
      </c>
      <c r="G16" s="135">
        <v>1.8000000000000001E-4</v>
      </c>
      <c r="H16" s="129">
        <v>1195</v>
      </c>
      <c r="I16" s="129">
        <v>2476</v>
      </c>
      <c r="J16" s="129">
        <v>1</v>
      </c>
      <c r="K16" s="136">
        <v>20.440000000000001</v>
      </c>
      <c r="L16" s="129">
        <v>140</v>
      </c>
      <c r="M16" s="137">
        <v>67.723231542327028</v>
      </c>
      <c r="N16" s="129">
        <v>1</v>
      </c>
      <c r="O16" s="137"/>
      <c r="P16" s="129"/>
    </row>
    <row r="17" spans="1:16" ht="12.75" customHeight="1" x14ac:dyDescent="0.2">
      <c r="A17" s="128" t="s">
        <v>29</v>
      </c>
      <c r="B17" s="143">
        <v>308985.34000000003</v>
      </c>
      <c r="C17" s="143">
        <v>4740483.7699999902</v>
      </c>
      <c r="D17" s="134">
        <v>21.199508354687946</v>
      </c>
      <c r="E17" s="134">
        <v>22.558659705450751</v>
      </c>
      <c r="F17" s="134">
        <v>30.029401761514666</v>
      </c>
      <c r="G17" s="135">
        <v>2.0000000000000001E-4</v>
      </c>
      <c r="H17" s="129">
        <v>1105</v>
      </c>
      <c r="I17" s="129">
        <v>2660</v>
      </c>
      <c r="J17" s="129">
        <v>1</v>
      </c>
      <c r="K17" s="136">
        <v>11.446</v>
      </c>
      <c r="L17" s="129">
        <v>170</v>
      </c>
      <c r="M17" s="137">
        <v>72.142138786456584</v>
      </c>
      <c r="N17" s="129">
        <v>1</v>
      </c>
      <c r="O17" s="137"/>
      <c r="P17" s="129"/>
    </row>
    <row r="18" spans="1:16" ht="12.75" customHeight="1" x14ac:dyDescent="0.2">
      <c r="A18" s="128" t="s">
        <v>32</v>
      </c>
      <c r="B18" s="143">
        <v>320837.28000000003</v>
      </c>
      <c r="C18" s="143">
        <v>4727738.3399999896</v>
      </c>
      <c r="D18" s="134">
        <v>23.005676160115154</v>
      </c>
      <c r="E18" s="134">
        <v>23.973483079693771</v>
      </c>
      <c r="F18" s="134">
        <v>25.253163394573882</v>
      </c>
      <c r="G18" s="135">
        <v>1.2E-4</v>
      </c>
      <c r="H18" s="129">
        <v>860</v>
      </c>
      <c r="I18" s="129">
        <v>1934</v>
      </c>
      <c r="J18" s="129">
        <v>1</v>
      </c>
      <c r="K18" s="136">
        <v>4.8</v>
      </c>
      <c r="L18" s="129">
        <v>330</v>
      </c>
      <c r="M18" s="137">
        <v>49.711815561959654</v>
      </c>
      <c r="N18" s="129">
        <v>1</v>
      </c>
      <c r="O18" s="137"/>
      <c r="P18" s="129"/>
    </row>
    <row r="19" spans="1:16" ht="12.75" customHeight="1" x14ac:dyDescent="0.2">
      <c r="A19" s="128" t="s">
        <v>35</v>
      </c>
      <c r="B19" s="143">
        <v>321723.21999999898</v>
      </c>
      <c r="C19" s="143">
        <v>4727144.46</v>
      </c>
      <c r="D19" s="134">
        <v>24.461644122093791</v>
      </c>
      <c r="E19" s="134">
        <v>24.092787628648352</v>
      </c>
      <c r="F19" s="134">
        <v>36.326825952120238</v>
      </c>
      <c r="G19" s="135">
        <v>2.0000000000000001E-4</v>
      </c>
      <c r="H19" s="129">
        <v>1130</v>
      </c>
      <c r="I19" s="129">
        <v>2527</v>
      </c>
      <c r="J19" s="129">
        <v>1</v>
      </c>
      <c r="K19" s="136">
        <v>7.6849999999999996</v>
      </c>
      <c r="L19" s="129">
        <v>330</v>
      </c>
      <c r="M19" s="137">
        <v>55.245901639344261</v>
      </c>
      <c r="N19" s="129">
        <v>1</v>
      </c>
      <c r="O19" s="137"/>
      <c r="P19" s="129"/>
    </row>
    <row r="20" spans="1:16" ht="12.75" customHeight="1" x14ac:dyDescent="0.2">
      <c r="A20" s="128" t="s">
        <v>38</v>
      </c>
      <c r="B20" s="143">
        <v>325713.31</v>
      </c>
      <c r="C20" s="143">
        <v>4731160.8099999903</v>
      </c>
      <c r="D20" s="134">
        <v>24.146272149921824</v>
      </c>
      <c r="E20" s="134">
        <v>27.60711837636908</v>
      </c>
      <c r="F20" s="134">
        <v>35.537677791974382</v>
      </c>
      <c r="G20" s="135">
        <v>4.0000000000000002E-4</v>
      </c>
      <c r="H20" s="129">
        <v>980</v>
      </c>
      <c r="I20" s="129">
        <v>1874</v>
      </c>
      <c r="J20" s="129">
        <v>1</v>
      </c>
      <c r="K20" s="136">
        <v>11.6815</v>
      </c>
      <c r="L20" s="129">
        <v>185</v>
      </c>
      <c r="M20" s="137">
        <v>54.150022192632044</v>
      </c>
      <c r="N20" s="129">
        <v>1</v>
      </c>
      <c r="O20" s="137"/>
      <c r="P20" s="129"/>
    </row>
    <row r="21" spans="1:16" ht="12.75" customHeight="1" x14ac:dyDescent="0.2">
      <c r="A21" s="128" t="s">
        <v>43</v>
      </c>
      <c r="B21" s="143">
        <v>323311.59999999899</v>
      </c>
      <c r="C21" s="143">
        <v>4731249.7599999905</v>
      </c>
      <c r="D21" s="134">
        <v>31.205363808785872</v>
      </c>
      <c r="E21" s="134">
        <v>36.064111747087054</v>
      </c>
      <c r="F21" s="134">
        <v>34.592288687509949</v>
      </c>
      <c r="G21" s="135">
        <v>2.0000000000000001E-4</v>
      </c>
      <c r="H21" s="129">
        <v>1080</v>
      </c>
      <c r="I21" s="129">
        <v>1483</v>
      </c>
      <c r="J21" s="129">
        <v>1</v>
      </c>
      <c r="K21" s="136">
        <v>24.616</v>
      </c>
      <c r="L21" s="129">
        <v>160</v>
      </c>
      <c r="M21" s="137">
        <v>74.589322381930188</v>
      </c>
      <c r="N21" s="129">
        <v>1</v>
      </c>
      <c r="O21" s="137">
        <v>0</v>
      </c>
      <c r="P21" s="129">
        <v>1948</v>
      </c>
    </row>
    <row r="22" spans="1:16" ht="12.75" customHeight="1" x14ac:dyDescent="0.2">
      <c r="A22" s="128" t="s">
        <v>273</v>
      </c>
      <c r="B22" s="143">
        <v>322242.09000000003</v>
      </c>
      <c r="C22" s="143">
        <v>4730796.95</v>
      </c>
      <c r="D22" s="134">
        <v>30.047817033365476</v>
      </c>
      <c r="E22" s="134">
        <v>32.34842343375778</v>
      </c>
      <c r="F22" s="134">
        <v>32.99770510121629</v>
      </c>
      <c r="G22" s="135">
        <v>2.0000000000000001E-4</v>
      </c>
      <c r="H22" s="129">
        <v>881</v>
      </c>
      <c r="I22" s="129">
        <v>1391</v>
      </c>
      <c r="J22" s="129">
        <v>3</v>
      </c>
      <c r="K22" s="136">
        <v>5.5728</v>
      </c>
      <c r="L22" s="129">
        <v>170</v>
      </c>
      <c r="M22" s="137">
        <v>52.72488509520683</v>
      </c>
      <c r="N22" s="129">
        <v>1</v>
      </c>
      <c r="O22" s="137">
        <v>0</v>
      </c>
      <c r="P22" s="129">
        <v>0</v>
      </c>
    </row>
    <row r="23" spans="1:16" ht="12.75" customHeight="1" x14ac:dyDescent="0.2">
      <c r="A23" s="128" t="s">
        <v>45</v>
      </c>
      <c r="B23" s="143">
        <v>320649.40000000002</v>
      </c>
      <c r="C23" s="143">
        <v>4734526.91</v>
      </c>
      <c r="D23" s="134">
        <v>22.998563485692088</v>
      </c>
      <c r="E23" s="134">
        <v>23.340171680899847</v>
      </c>
      <c r="F23" s="134">
        <v>35.928502422822838</v>
      </c>
      <c r="G23" s="135">
        <v>2.0000000000000001E-4</v>
      </c>
      <c r="H23" s="129">
        <v>1200</v>
      </c>
      <c r="I23" s="129">
        <v>2781</v>
      </c>
      <c r="J23" s="129">
        <v>1</v>
      </c>
      <c r="K23" s="136">
        <v>7.2324999999999999</v>
      </c>
      <c r="L23" s="129">
        <v>200</v>
      </c>
      <c r="M23" s="137">
        <v>80.169073617470943</v>
      </c>
      <c r="N23" s="129">
        <v>1</v>
      </c>
      <c r="O23" s="137"/>
      <c r="P23" s="129"/>
    </row>
    <row r="24" spans="1:16" ht="12.75" customHeight="1" x14ac:dyDescent="0.2">
      <c r="A24" s="128" t="s">
        <v>276</v>
      </c>
      <c r="B24" s="143">
        <v>320071.07</v>
      </c>
      <c r="C24" s="143">
        <v>4735156.1900000004</v>
      </c>
      <c r="D24" s="134">
        <v>22.801426948504883</v>
      </c>
      <c r="E24" s="134">
        <v>23.175185376260075</v>
      </c>
      <c r="F24" s="134">
        <v>41.507406839143954</v>
      </c>
      <c r="G24" s="135">
        <v>1.8000000000000001E-4</v>
      </c>
      <c r="H24" s="129">
        <v>1265</v>
      </c>
      <c r="I24" s="129">
        <v>2955</v>
      </c>
      <c r="J24" s="129">
        <v>1</v>
      </c>
      <c r="K24" s="136">
        <v>8.1125000000000007</v>
      </c>
      <c r="L24" s="129">
        <v>210</v>
      </c>
      <c r="M24" s="137">
        <v>87.586891757696122</v>
      </c>
      <c r="N24" s="129">
        <v>1</v>
      </c>
      <c r="O24" s="137"/>
      <c r="P24" s="129"/>
    </row>
    <row r="25" spans="1:16" ht="12.75" customHeight="1" x14ac:dyDescent="0.2">
      <c r="A25" s="138" t="s">
        <v>187</v>
      </c>
      <c r="B25" s="143">
        <v>314724.37</v>
      </c>
      <c r="C25" s="143">
        <v>4740626.4000000004</v>
      </c>
      <c r="D25" s="134">
        <v>28.186782399268278</v>
      </c>
      <c r="E25" s="134">
        <v>29.824951210198353</v>
      </c>
      <c r="F25" s="134">
        <v>35.345022904343814</v>
      </c>
      <c r="G25" s="135">
        <v>1.6000000000000001E-4</v>
      </c>
      <c r="H25" s="129">
        <v>1545</v>
      </c>
      <c r="I25" s="129">
        <v>2695</v>
      </c>
      <c r="J25" s="129">
        <v>1</v>
      </c>
      <c r="K25" s="136">
        <v>5.2069999999999999</v>
      </c>
      <c r="L25" s="129">
        <v>320</v>
      </c>
      <c r="M25" s="137">
        <v>75.644108553761598</v>
      </c>
      <c r="N25" s="129">
        <v>1</v>
      </c>
      <c r="O25" s="137"/>
      <c r="P25" s="129"/>
    </row>
    <row r="26" spans="1:16" ht="12.75" customHeight="1" x14ac:dyDescent="0.2">
      <c r="A26" s="128" t="s">
        <v>47</v>
      </c>
      <c r="B26" s="143">
        <v>311262</v>
      </c>
      <c r="C26" s="143">
        <v>4732352.8499999903</v>
      </c>
      <c r="D26" s="134">
        <v>25.264480878642278</v>
      </c>
      <c r="E26" s="134">
        <v>25.619764341215159</v>
      </c>
      <c r="F26" s="134">
        <v>38.884496433714595</v>
      </c>
      <c r="G26" s="135">
        <v>4.0000000000000003E-5</v>
      </c>
      <c r="H26" s="129">
        <v>1430</v>
      </c>
      <c r="I26" s="129">
        <v>2982</v>
      </c>
      <c r="J26" s="129">
        <v>1</v>
      </c>
      <c r="K26" s="136">
        <v>3.4815</v>
      </c>
      <c r="L26" s="129">
        <v>80</v>
      </c>
      <c r="M26" s="137">
        <v>46.307843780767968</v>
      </c>
      <c r="N26" s="129">
        <v>1</v>
      </c>
      <c r="O26" s="137"/>
      <c r="P26" s="129"/>
    </row>
    <row r="27" spans="1:16" ht="12.75" customHeight="1" x14ac:dyDescent="0.2">
      <c r="A27" s="128" t="s">
        <v>221</v>
      </c>
      <c r="B27" s="143">
        <v>310995.19</v>
      </c>
      <c r="C27" s="143">
        <v>4729171.0599999903</v>
      </c>
      <c r="D27" s="134">
        <v>28.004453775839206</v>
      </c>
      <c r="E27" s="134">
        <v>30.335882713075815</v>
      </c>
      <c r="F27" s="134">
        <v>38.884496433714595</v>
      </c>
      <c r="G27" s="135">
        <v>2.0000000000000001E-4</v>
      </c>
      <c r="H27" s="129">
        <v>1075</v>
      </c>
      <c r="I27" s="129">
        <v>1837</v>
      </c>
      <c r="J27" s="129">
        <v>1</v>
      </c>
      <c r="K27" s="136">
        <v>3.4815</v>
      </c>
      <c r="L27" s="129">
        <v>50</v>
      </c>
      <c r="M27" s="137">
        <v>40.705765407554672</v>
      </c>
      <c r="N27" s="129">
        <v>1</v>
      </c>
      <c r="O27" s="137"/>
      <c r="P27" s="129"/>
    </row>
    <row r="28" spans="1:16" ht="12.75" customHeight="1" x14ac:dyDescent="0.2">
      <c r="A28" s="128" t="s">
        <v>224</v>
      </c>
      <c r="B28" s="143">
        <v>314389.07</v>
      </c>
      <c r="C28" s="143">
        <v>4730589.79</v>
      </c>
      <c r="D28" s="134">
        <v>32.05511641710946</v>
      </c>
      <c r="E28" s="134">
        <v>32.609143339319104</v>
      </c>
      <c r="F28" s="134">
        <v>37.356621928520433</v>
      </c>
      <c r="G28" s="135">
        <v>4.0000000000000002E-4</v>
      </c>
      <c r="H28" s="129">
        <v>1030</v>
      </c>
      <c r="I28" s="129">
        <v>1610</v>
      </c>
      <c r="J28" s="129">
        <v>1</v>
      </c>
      <c r="K28" s="136">
        <v>1.4570000000000001</v>
      </c>
      <c r="L28" s="129">
        <v>320</v>
      </c>
      <c r="M28" s="137">
        <v>68.29710144927536</v>
      </c>
      <c r="N28" s="129">
        <v>1</v>
      </c>
      <c r="O28" s="137"/>
      <c r="P28" s="129"/>
    </row>
    <row r="29" spans="1:16" ht="12.75" customHeight="1" x14ac:dyDescent="0.2">
      <c r="A29" s="128" t="s">
        <v>50</v>
      </c>
      <c r="B29" s="143">
        <v>359579.03999999899</v>
      </c>
      <c r="C29" s="143">
        <v>4720309.41</v>
      </c>
      <c r="D29" s="134">
        <v>19.066832540774271</v>
      </c>
      <c r="E29" s="134">
        <v>19.840698083968348</v>
      </c>
      <c r="F29" s="134">
        <v>35.345022904343814</v>
      </c>
      <c r="G29" s="135">
        <v>1.3999999999999999E-4</v>
      </c>
      <c r="H29" s="129">
        <v>700</v>
      </c>
      <c r="I29" s="129">
        <v>1940</v>
      </c>
      <c r="J29" s="129">
        <v>1</v>
      </c>
      <c r="K29" s="136">
        <v>1.6205000000000001</v>
      </c>
      <c r="L29" s="129">
        <v>190</v>
      </c>
      <c r="M29" s="137">
        <v>81.177020084072865</v>
      </c>
      <c r="N29" s="129">
        <v>2</v>
      </c>
      <c r="O29" s="137"/>
      <c r="P29" s="129"/>
    </row>
    <row r="30" spans="1:16" ht="12.75" customHeight="1" x14ac:dyDescent="0.2">
      <c r="A30" s="128" t="s">
        <v>53</v>
      </c>
      <c r="B30" s="143">
        <v>358237.87</v>
      </c>
      <c r="C30" s="143">
        <v>4720618.71</v>
      </c>
      <c r="D30" s="134">
        <v>24.57542719655471</v>
      </c>
      <c r="E30" s="134">
        <v>24.400663682109094</v>
      </c>
      <c r="F30" s="134">
        <v>31.528988037753418</v>
      </c>
      <c r="G30" s="135">
        <v>4.0000000000000002E-4</v>
      </c>
      <c r="H30" s="129">
        <v>905</v>
      </c>
      <c r="I30" s="129">
        <v>1995</v>
      </c>
      <c r="J30" s="129">
        <v>1</v>
      </c>
      <c r="K30" s="136">
        <v>3.403</v>
      </c>
      <c r="L30" s="129">
        <v>235</v>
      </c>
      <c r="M30" s="137">
        <v>71.138211382113823</v>
      </c>
      <c r="N30" s="129">
        <v>2</v>
      </c>
      <c r="O30" s="137"/>
      <c r="P30" s="129"/>
    </row>
    <row r="31" spans="1:16" ht="12.75" customHeight="1" x14ac:dyDescent="0.2">
      <c r="A31" s="128" t="s">
        <v>292</v>
      </c>
      <c r="B31" s="143">
        <v>361138.929999999</v>
      </c>
      <c r="C31" s="143">
        <v>4722231.7999999896</v>
      </c>
      <c r="D31" s="134">
        <v>32.188462384084339</v>
      </c>
      <c r="E31" s="134">
        <v>32.409526197764968</v>
      </c>
      <c r="F31" s="134">
        <v>30.913275682128514</v>
      </c>
      <c r="G31" s="135">
        <v>1.2000000000000002E-4</v>
      </c>
      <c r="H31" s="129">
        <v>1184</v>
      </c>
      <c r="I31" s="129">
        <v>1865</v>
      </c>
      <c r="J31" s="129">
        <v>3</v>
      </c>
      <c r="K31" s="136">
        <v>2.2225000000000001</v>
      </c>
      <c r="L31" s="129">
        <v>288</v>
      </c>
      <c r="M31" s="137">
        <v>51.408825093035617</v>
      </c>
      <c r="N31" s="129">
        <v>2</v>
      </c>
      <c r="O31" s="137"/>
      <c r="P31" s="129"/>
    </row>
    <row r="32" spans="1:16" ht="12.75" customHeight="1" x14ac:dyDescent="0.2">
      <c r="A32" s="128" t="s">
        <v>278</v>
      </c>
      <c r="B32" s="143">
        <v>360046.2</v>
      </c>
      <c r="C32" s="143">
        <v>4723327.03</v>
      </c>
      <c r="D32" s="134">
        <v>33.373561112483863</v>
      </c>
      <c r="E32" s="134">
        <v>34.433724362389484</v>
      </c>
      <c r="F32" s="134">
        <v>37.356621928520433</v>
      </c>
      <c r="G32" s="135">
        <v>2.0000000000000001E-4</v>
      </c>
      <c r="H32" s="129">
        <v>1160</v>
      </c>
      <c r="I32" s="129">
        <v>1692</v>
      </c>
      <c r="J32" s="129">
        <v>3</v>
      </c>
      <c r="K32" s="136">
        <v>0.91020000000000001</v>
      </c>
      <c r="L32" s="129">
        <v>275</v>
      </c>
      <c r="M32" s="137">
        <v>84.383872799545713</v>
      </c>
      <c r="N32" s="129">
        <v>2</v>
      </c>
      <c r="O32" s="137"/>
      <c r="P32" s="129"/>
    </row>
    <row r="33" spans="1:16" ht="12.75" customHeight="1" x14ac:dyDescent="0.2">
      <c r="A33" s="128" t="s">
        <v>290</v>
      </c>
      <c r="B33" s="143">
        <v>360253.81</v>
      </c>
      <c r="C33" s="143">
        <v>4723832.83</v>
      </c>
      <c r="D33" s="134">
        <v>30.220799923831272</v>
      </c>
      <c r="E33" s="134">
        <v>30.49718186491117</v>
      </c>
      <c r="F33" s="134">
        <v>40.763605200941164</v>
      </c>
      <c r="G33" s="135">
        <v>2.0000000000000002E-5</v>
      </c>
      <c r="H33" s="129">
        <v>1165</v>
      </c>
      <c r="I33" s="129">
        <v>1978</v>
      </c>
      <c r="J33" s="129">
        <v>3</v>
      </c>
      <c r="K33" s="136">
        <v>2.8182</v>
      </c>
      <c r="L33" s="129">
        <v>330</v>
      </c>
      <c r="M33" s="137">
        <v>54.15</v>
      </c>
      <c r="N33" s="129">
        <v>2</v>
      </c>
      <c r="O33" s="137"/>
      <c r="P33" s="129"/>
    </row>
    <row r="34" spans="1:16" ht="12.75" customHeight="1" x14ac:dyDescent="0.2">
      <c r="A34" s="128" t="s">
        <v>227</v>
      </c>
      <c r="B34" s="143">
        <v>394246.65999999898</v>
      </c>
      <c r="C34" s="143">
        <v>4700488.37</v>
      </c>
      <c r="D34" s="134">
        <v>25.534296521467606</v>
      </c>
      <c r="E34" s="134">
        <v>25.415290238355457</v>
      </c>
      <c r="F34" s="134">
        <v>30.173520029644333</v>
      </c>
      <c r="G34" s="135">
        <v>1.2E-4</v>
      </c>
      <c r="H34" s="129">
        <v>880</v>
      </c>
      <c r="I34" s="129">
        <v>1852</v>
      </c>
      <c r="J34" s="129">
        <v>1</v>
      </c>
      <c r="K34" s="136">
        <v>3.38</v>
      </c>
      <c r="L34" s="129">
        <v>260</v>
      </c>
      <c r="M34" s="137">
        <v>56.79691799669785</v>
      </c>
      <c r="N34" s="129">
        <v>2</v>
      </c>
      <c r="O34" s="137"/>
      <c r="P34" s="129"/>
    </row>
    <row r="35" spans="1:16" ht="12.75" customHeight="1" x14ac:dyDescent="0.2">
      <c r="A35" s="128" t="s">
        <v>56</v>
      </c>
      <c r="B35" s="143">
        <v>394827.09999999899</v>
      </c>
      <c r="C35" s="143">
        <v>4701063.54</v>
      </c>
      <c r="D35" s="134">
        <v>23.083972138452872</v>
      </c>
      <c r="E35" s="134">
        <v>23.503832122571556</v>
      </c>
      <c r="F35" s="134">
        <v>25.784806694477616</v>
      </c>
      <c r="G35" s="135">
        <v>1.2E-4</v>
      </c>
      <c r="H35" s="129">
        <v>865</v>
      </c>
      <c r="I35" s="129">
        <v>1989</v>
      </c>
      <c r="J35" s="129">
        <v>1</v>
      </c>
      <c r="K35" s="136">
        <v>3.1</v>
      </c>
      <c r="L35" s="129">
        <v>268</v>
      </c>
      <c r="M35" s="137">
        <v>55.236239649293715</v>
      </c>
      <c r="N35" s="129">
        <v>2</v>
      </c>
      <c r="O35" s="137"/>
      <c r="P35" s="129"/>
    </row>
    <row r="36" spans="1:16" ht="12.75" customHeight="1" x14ac:dyDescent="0.2">
      <c r="A36" s="128" t="s">
        <v>59</v>
      </c>
      <c r="B36" s="143">
        <v>325314.96999999898</v>
      </c>
      <c r="C36" s="143">
        <v>4701726.1100000003</v>
      </c>
      <c r="D36" s="134">
        <v>23.657315986445802</v>
      </c>
      <c r="E36" s="134">
        <v>24.537322831253238</v>
      </c>
      <c r="F36" s="134">
        <v>41.257011704312866</v>
      </c>
      <c r="G36" s="135">
        <v>2.0000000000000001E-4</v>
      </c>
      <c r="H36" s="129">
        <v>1160</v>
      </c>
      <c r="I36" s="129">
        <v>2541</v>
      </c>
      <c r="J36" s="129">
        <v>1</v>
      </c>
      <c r="K36" s="136">
        <v>9.2919999999999998</v>
      </c>
      <c r="L36" s="129">
        <v>140</v>
      </c>
      <c r="M36" s="137">
        <v>82.261063592413535</v>
      </c>
      <c r="N36" s="129">
        <v>2</v>
      </c>
      <c r="O36" s="137"/>
      <c r="P36" s="129"/>
    </row>
    <row r="37" spans="1:16" ht="12.75" customHeight="1" x14ac:dyDescent="0.2">
      <c r="A37" s="128" t="s">
        <v>189</v>
      </c>
      <c r="B37" s="143">
        <v>316352.78000000003</v>
      </c>
      <c r="C37" s="143">
        <v>4723424.0599999903</v>
      </c>
      <c r="D37" s="134">
        <v>25.348712387981294</v>
      </c>
      <c r="E37" s="134">
        <v>26.963021287056456</v>
      </c>
      <c r="F37" s="134">
        <v>38.659808254090095</v>
      </c>
      <c r="G37" s="135">
        <v>4.0000000000000002E-4</v>
      </c>
      <c r="H37" s="129">
        <v>905</v>
      </c>
      <c r="I37" s="129">
        <v>1779</v>
      </c>
      <c r="J37" s="129">
        <v>4</v>
      </c>
      <c r="K37" s="136">
        <v>2.97</v>
      </c>
      <c r="L37" s="129">
        <v>260</v>
      </c>
      <c r="M37" s="137">
        <v>53.347064881565402</v>
      </c>
      <c r="N37" s="129">
        <v>2</v>
      </c>
      <c r="O37" s="137"/>
      <c r="P37" s="129"/>
    </row>
    <row r="38" spans="1:16" ht="12.75" customHeight="1" x14ac:dyDescent="0.2">
      <c r="A38" s="128" t="s">
        <v>63</v>
      </c>
      <c r="B38" s="143">
        <v>316757.049999999</v>
      </c>
      <c r="C38" s="143">
        <v>4722727.2</v>
      </c>
      <c r="D38" s="134">
        <v>31.870540113328801</v>
      </c>
      <c r="E38" s="134">
        <v>32.72290194889198</v>
      </c>
      <c r="F38" s="134">
        <v>33.690067525979785</v>
      </c>
      <c r="G38" s="135">
        <v>5.9999999999999995E-4</v>
      </c>
      <c r="H38" s="129">
        <v>755</v>
      </c>
      <c r="I38" s="129">
        <v>1175</v>
      </c>
      <c r="J38" s="129">
        <v>1</v>
      </c>
      <c r="K38" s="136">
        <v>3.5</v>
      </c>
      <c r="L38" s="129">
        <v>270</v>
      </c>
      <c r="M38" s="137">
        <v>49.346405228758172</v>
      </c>
      <c r="N38" s="129">
        <v>2</v>
      </c>
      <c r="O38" s="137"/>
      <c r="P38" s="129"/>
    </row>
    <row r="39" spans="1:16" ht="12.75" customHeight="1" x14ac:dyDescent="0.2">
      <c r="A39" s="128" t="s">
        <v>229</v>
      </c>
      <c r="B39" s="143">
        <v>322804.88</v>
      </c>
      <c r="C39" s="143">
        <v>4716821.5</v>
      </c>
      <c r="D39" s="134">
        <v>29.24977401645415</v>
      </c>
      <c r="E39" s="134">
        <v>29.861685098643804</v>
      </c>
      <c r="F39" s="134">
        <v>26.680102788531915</v>
      </c>
      <c r="G39" s="135">
        <v>8.0000000000000007E-5</v>
      </c>
      <c r="H39" s="129">
        <v>1030</v>
      </c>
      <c r="I39" s="129">
        <v>1794</v>
      </c>
      <c r="J39" s="129">
        <v>2</v>
      </c>
      <c r="K39" s="136">
        <v>0.56579999999999997</v>
      </c>
      <c r="L39" s="129">
        <v>130</v>
      </c>
      <c r="M39" s="137">
        <v>22.705051602390007</v>
      </c>
      <c r="N39" s="129">
        <v>2</v>
      </c>
      <c r="O39" s="137"/>
      <c r="P39" s="129"/>
    </row>
    <row r="40" spans="1:16" ht="12.75" customHeight="1" x14ac:dyDescent="0.2">
      <c r="A40" s="128" t="s">
        <v>191</v>
      </c>
      <c r="B40" s="143">
        <v>320574.21999999898</v>
      </c>
      <c r="C40" s="143">
        <v>4712364.6100000003</v>
      </c>
      <c r="D40" s="134">
        <v>27.503300589087726</v>
      </c>
      <c r="E40" s="134">
        <v>28.567793171375435</v>
      </c>
      <c r="F40" s="134">
        <v>34.045937356601662</v>
      </c>
      <c r="G40" s="135">
        <v>1.3999999999999999E-4</v>
      </c>
      <c r="H40" s="129">
        <v>1230</v>
      </c>
      <c r="I40" s="129">
        <v>2259</v>
      </c>
      <c r="J40" s="129">
        <v>4</v>
      </c>
      <c r="K40" s="136">
        <v>6.8639999999999999</v>
      </c>
      <c r="L40" s="129">
        <v>60</v>
      </c>
      <c r="M40" s="137">
        <v>62.257792754844147</v>
      </c>
      <c r="N40" s="129">
        <v>2</v>
      </c>
      <c r="O40" s="137"/>
      <c r="P40" s="129"/>
    </row>
    <row r="41" spans="1:16" ht="12.75" customHeight="1" x14ac:dyDescent="0.2">
      <c r="A41" s="128" t="s">
        <v>66</v>
      </c>
      <c r="B41" s="143">
        <v>316026.72999999899</v>
      </c>
      <c r="C41" s="143">
        <v>4707892.3099999903</v>
      </c>
      <c r="D41" s="134">
        <v>27.026948697736454</v>
      </c>
      <c r="E41" s="134">
        <v>26.888231034546916</v>
      </c>
      <c r="F41" s="134">
        <v>31.373005140108461</v>
      </c>
      <c r="G41" s="135">
        <v>1.3999999999999999E-4</v>
      </c>
      <c r="H41" s="129">
        <v>1255</v>
      </c>
      <c r="I41" s="129">
        <v>2475</v>
      </c>
      <c r="J41" s="129">
        <v>1</v>
      </c>
      <c r="K41" s="136">
        <v>11.516999999999999</v>
      </c>
      <c r="L41" s="129">
        <v>100</v>
      </c>
      <c r="M41" s="137">
        <v>63.996627318718382</v>
      </c>
      <c r="N41" s="129">
        <v>2</v>
      </c>
      <c r="O41" s="137"/>
      <c r="P41" s="129"/>
    </row>
    <row r="42" spans="1:16" ht="12.75" customHeight="1" x14ac:dyDescent="0.2">
      <c r="A42" s="128" t="s">
        <v>280</v>
      </c>
      <c r="B42" s="143">
        <v>430022.739999999</v>
      </c>
      <c r="C42" s="143">
        <v>4692459.4699999904</v>
      </c>
      <c r="D42" s="134">
        <v>26.492093942086658</v>
      </c>
      <c r="E42" s="134">
        <v>28.133349942245491</v>
      </c>
      <c r="F42" s="134">
        <v>31.845160528655661</v>
      </c>
      <c r="G42" s="135">
        <v>4.0000000000000002E-4</v>
      </c>
      <c r="H42" s="129">
        <v>470</v>
      </c>
      <c r="I42" s="129">
        <v>879</v>
      </c>
      <c r="J42" s="129">
        <v>3</v>
      </c>
      <c r="K42" s="136">
        <v>1.4279999999999999</v>
      </c>
      <c r="L42" s="129">
        <v>125</v>
      </c>
      <c r="M42" s="137">
        <v>44.750795334040291</v>
      </c>
      <c r="N42" s="129">
        <v>3</v>
      </c>
      <c r="O42" s="137"/>
      <c r="P42" s="129"/>
    </row>
    <row r="43" spans="1:16" ht="12.75" customHeight="1" x14ac:dyDescent="0.2">
      <c r="A43" s="128" t="s">
        <v>193</v>
      </c>
      <c r="B43" s="143">
        <v>373350.72999999899</v>
      </c>
      <c r="C43" s="143">
        <v>4707158.6699999897</v>
      </c>
      <c r="D43" s="134">
        <v>28.469129819561786</v>
      </c>
      <c r="E43" s="134">
        <v>27.662100635468214</v>
      </c>
      <c r="F43" s="134">
        <v>32.828541791412533</v>
      </c>
      <c r="G43" s="135">
        <v>1.6000000000000001E-4</v>
      </c>
      <c r="H43" s="129">
        <v>835</v>
      </c>
      <c r="I43" s="129">
        <v>1593</v>
      </c>
      <c r="J43" s="129">
        <v>1</v>
      </c>
      <c r="K43" s="136">
        <v>2.2885</v>
      </c>
      <c r="L43" s="129">
        <v>290</v>
      </c>
      <c r="M43" s="137">
        <v>70.453008789722787</v>
      </c>
      <c r="N43" s="129">
        <v>2</v>
      </c>
      <c r="O43" s="137">
        <v>59.161595672751858</v>
      </c>
      <c r="P43" s="129">
        <v>601</v>
      </c>
    </row>
    <row r="44" spans="1:16" ht="12.75" customHeight="1" x14ac:dyDescent="0.2">
      <c r="A44" s="128" t="s">
        <v>69</v>
      </c>
      <c r="B44" s="143">
        <v>373836.78999999899</v>
      </c>
      <c r="C44" s="143">
        <v>4707596.1799999904</v>
      </c>
      <c r="D44" s="134">
        <v>23.51544567414183</v>
      </c>
      <c r="E44" s="134">
        <v>26.469875551142046</v>
      </c>
      <c r="F44" s="134">
        <v>29.327179490456803</v>
      </c>
      <c r="G44" s="135">
        <v>4.0000000000000002E-4</v>
      </c>
      <c r="H44" s="129">
        <v>480</v>
      </c>
      <c r="I44" s="129">
        <v>964</v>
      </c>
      <c r="J44" s="129">
        <v>1</v>
      </c>
      <c r="K44" s="136">
        <v>3.7240000000000002</v>
      </c>
      <c r="L44" s="129">
        <v>310</v>
      </c>
      <c r="M44" s="137">
        <v>42.38517324738114</v>
      </c>
      <c r="N44" s="129">
        <v>2</v>
      </c>
      <c r="O44" s="137">
        <v>32.554391619661565</v>
      </c>
      <c r="P44" s="129">
        <v>679</v>
      </c>
    </row>
    <row r="45" spans="1:16" ht="12.75" customHeight="1" x14ac:dyDescent="0.2">
      <c r="A45" s="128" t="s">
        <v>72</v>
      </c>
      <c r="B45" s="143">
        <v>369287.299999999</v>
      </c>
      <c r="C45" s="143">
        <v>4705924.8600000003</v>
      </c>
      <c r="D45" s="134">
        <v>24.72027270960395</v>
      </c>
      <c r="E45" s="134">
        <v>25.669586021744468</v>
      </c>
      <c r="F45" s="134">
        <v>30.613481021165875</v>
      </c>
      <c r="G45" s="135">
        <v>5.9999999999999995E-4</v>
      </c>
      <c r="H45" s="129">
        <v>595</v>
      </c>
      <c r="I45" s="129">
        <v>1238</v>
      </c>
      <c r="J45" s="129">
        <v>1</v>
      </c>
      <c r="K45" s="136">
        <v>4.9000000000000004</v>
      </c>
      <c r="L45" s="129">
        <v>118</v>
      </c>
      <c r="M45" s="137">
        <v>67.698113207547166</v>
      </c>
      <c r="N45" s="129">
        <v>2</v>
      </c>
      <c r="O45" s="137">
        <v>54.641509433962263</v>
      </c>
      <c r="P45" s="129">
        <v>412</v>
      </c>
    </row>
    <row r="46" spans="1:16" ht="12.75" customHeight="1" x14ac:dyDescent="0.2">
      <c r="A46" s="128" t="s">
        <v>283</v>
      </c>
      <c r="B46" s="143">
        <v>343808.34999999899</v>
      </c>
      <c r="C46" s="143">
        <v>4731571.4199999897</v>
      </c>
      <c r="D46" s="134">
        <v>26.622461758578869</v>
      </c>
      <c r="E46" s="134">
        <v>28.632649055188665</v>
      </c>
      <c r="F46" s="134">
        <v>36.732826664489366</v>
      </c>
      <c r="G46" s="135">
        <v>4.0000000000000002E-4</v>
      </c>
      <c r="H46" s="129">
        <v>790</v>
      </c>
      <c r="I46" s="129">
        <v>1447</v>
      </c>
      <c r="J46" s="129">
        <v>4</v>
      </c>
      <c r="K46" s="136">
        <v>6.8731</v>
      </c>
      <c r="L46" s="129">
        <v>40</v>
      </c>
      <c r="M46" s="137">
        <v>56.015037593984964</v>
      </c>
      <c r="N46" s="129">
        <v>1</v>
      </c>
      <c r="O46" s="137"/>
      <c r="P46" s="129"/>
    </row>
    <row r="47" spans="1:16" ht="12.75" customHeight="1" x14ac:dyDescent="0.2">
      <c r="A47" s="128" t="s">
        <v>231</v>
      </c>
      <c r="B47" s="143">
        <v>344014.53</v>
      </c>
      <c r="C47" s="143">
        <v>4730830.45</v>
      </c>
      <c r="D47" s="134">
        <v>29.86691685151299</v>
      </c>
      <c r="E47" s="134">
        <v>30.163540620626726</v>
      </c>
      <c r="F47" s="134">
        <v>36.326825952120238</v>
      </c>
      <c r="G47" s="135">
        <v>4.0000000000000002E-4</v>
      </c>
      <c r="H47" s="129">
        <v>870</v>
      </c>
      <c r="I47" s="129">
        <v>1497</v>
      </c>
      <c r="J47" s="129">
        <v>1</v>
      </c>
      <c r="K47" s="136">
        <v>2.88</v>
      </c>
      <c r="L47" s="129">
        <v>140</v>
      </c>
      <c r="M47" s="137">
        <v>27.062706270627064</v>
      </c>
      <c r="N47" s="129">
        <v>1</v>
      </c>
      <c r="O47" s="137"/>
      <c r="P47" s="129"/>
    </row>
    <row r="48" spans="1:16" ht="12.75" customHeight="1" x14ac:dyDescent="0.2">
      <c r="A48" s="128" t="s">
        <v>234</v>
      </c>
      <c r="B48" s="143">
        <v>339420.679999999</v>
      </c>
      <c r="C48" s="143">
        <v>4737005.7300000004</v>
      </c>
      <c r="D48" s="134">
        <v>29.433856467896007</v>
      </c>
      <c r="E48" s="134">
        <v>31.792343036164258</v>
      </c>
      <c r="F48" s="134">
        <v>36.732826664489366</v>
      </c>
      <c r="G48" s="135">
        <v>4.0000000000000002E-4</v>
      </c>
      <c r="H48" s="129">
        <v>781</v>
      </c>
      <c r="I48" s="129">
        <v>1260</v>
      </c>
      <c r="J48" s="129">
        <v>2</v>
      </c>
      <c r="K48" s="136">
        <v>2.4300000000000002</v>
      </c>
      <c r="L48" s="129">
        <v>170</v>
      </c>
      <c r="M48" s="137">
        <v>53.194544149318027</v>
      </c>
      <c r="N48" s="129">
        <v>1</v>
      </c>
      <c r="O48" s="137"/>
      <c r="P48" s="129"/>
    </row>
    <row r="49" spans="1:16" ht="12.75" customHeight="1" x14ac:dyDescent="0.2">
      <c r="A49" s="128" t="s">
        <v>264</v>
      </c>
      <c r="B49" s="143">
        <v>347094.96</v>
      </c>
      <c r="C49" s="143">
        <v>4729490.1399999904</v>
      </c>
      <c r="D49" s="134">
        <v>27.098295362221773</v>
      </c>
      <c r="E49" s="134">
        <v>28.024175715015755</v>
      </c>
      <c r="F49" s="134">
        <v>35.537677791974382</v>
      </c>
      <c r="G49" s="135">
        <v>1.6000000000000001E-4</v>
      </c>
      <c r="H49" s="129">
        <v>1180</v>
      </c>
      <c r="I49" s="129">
        <v>2217</v>
      </c>
      <c r="J49" s="129">
        <v>3</v>
      </c>
      <c r="K49" s="136">
        <v>9.3765999999999998</v>
      </c>
      <c r="L49" s="129">
        <v>315</v>
      </c>
      <c r="M49" s="137">
        <v>32.16450216450216</v>
      </c>
      <c r="N49" s="129">
        <v>1</v>
      </c>
      <c r="O49" s="137"/>
      <c r="P49" s="129"/>
    </row>
    <row r="50" spans="1:16" ht="12.75" customHeight="1" x14ac:dyDescent="0.2">
      <c r="A50" s="128" t="s">
        <v>266</v>
      </c>
      <c r="B50" s="143">
        <v>346795.08</v>
      </c>
      <c r="C50" s="143">
        <v>4732688.54</v>
      </c>
      <c r="D50" s="134">
        <v>23.94114420057285</v>
      </c>
      <c r="E50" s="134">
        <v>25.250523644310228</v>
      </c>
      <c r="F50" s="134">
        <v>44.432733590142064</v>
      </c>
      <c r="G50" s="135">
        <v>2.0000000000000001E-4</v>
      </c>
      <c r="H50" s="129">
        <v>1106</v>
      </c>
      <c r="I50" s="129">
        <v>2345</v>
      </c>
      <c r="J50" s="129">
        <v>3</v>
      </c>
      <c r="K50" s="136">
        <v>16.05</v>
      </c>
      <c r="L50" s="129">
        <v>320</v>
      </c>
      <c r="M50" s="137">
        <v>57.647531112003215</v>
      </c>
      <c r="N50" s="129">
        <v>1</v>
      </c>
      <c r="O50" s="137"/>
      <c r="P50" s="129"/>
    </row>
    <row r="51" spans="1:16" ht="12.75" customHeight="1" x14ac:dyDescent="0.2">
      <c r="A51" s="139" t="s">
        <v>237</v>
      </c>
      <c r="B51" s="143">
        <v>346610.5</v>
      </c>
      <c r="C51" s="143">
        <v>4734764.4800000004</v>
      </c>
      <c r="D51" s="134">
        <v>20.947329593527616</v>
      </c>
      <c r="E51" s="134">
        <v>24.569805609312706</v>
      </c>
      <c r="F51" s="134">
        <v>36.126715772789915</v>
      </c>
      <c r="G51" s="135">
        <v>2.0000000000000001E-4</v>
      </c>
      <c r="H51" s="129">
        <v>940</v>
      </c>
      <c r="I51" s="129">
        <v>2056</v>
      </c>
      <c r="J51" s="129">
        <v>1</v>
      </c>
      <c r="K51" s="136">
        <v>22.797499999999999</v>
      </c>
      <c r="L51" s="129">
        <v>225</v>
      </c>
      <c r="M51" s="137">
        <v>59.191043698085956</v>
      </c>
      <c r="N51" s="129">
        <v>1</v>
      </c>
      <c r="O51" s="137"/>
      <c r="P51" s="129"/>
    </row>
    <row r="52" spans="1:16" ht="12.75" customHeight="1" x14ac:dyDescent="0.2">
      <c r="A52" s="128" t="s">
        <v>271</v>
      </c>
      <c r="B52" s="143">
        <v>343615.63</v>
      </c>
      <c r="C52" s="143">
        <v>4737256.6100000003</v>
      </c>
      <c r="D52" s="134">
        <v>21.871353434736353</v>
      </c>
      <c r="E52" s="134">
        <v>24.348123299041294</v>
      </c>
      <c r="F52" s="134">
        <v>38.437301491062534</v>
      </c>
      <c r="G52" s="135">
        <v>8.0000000000000007E-5</v>
      </c>
      <c r="H52" s="129">
        <v>1020</v>
      </c>
      <c r="I52" s="129">
        <v>2254</v>
      </c>
      <c r="J52" s="129">
        <v>3</v>
      </c>
      <c r="K52" s="136">
        <v>3.5066000000000002</v>
      </c>
      <c r="L52" s="129">
        <v>255</v>
      </c>
      <c r="M52" s="137">
        <v>41.086186540731994</v>
      </c>
      <c r="N52" s="129">
        <v>1</v>
      </c>
      <c r="O52" s="137">
        <v>2.3219205037386859</v>
      </c>
      <c r="P52" s="129">
        <v>2430</v>
      </c>
    </row>
    <row r="53" spans="1:16" ht="12.75" customHeight="1" x14ac:dyDescent="0.2">
      <c r="A53" s="139" t="s">
        <v>75</v>
      </c>
      <c r="B53" s="143">
        <v>342269.14</v>
      </c>
      <c r="C53" s="143">
        <v>4738245.82</v>
      </c>
      <c r="D53" s="134">
        <v>19.504883486847934</v>
      </c>
      <c r="E53" s="134">
        <v>27.955321446254704</v>
      </c>
      <c r="F53" s="134">
        <v>43.063199613778956</v>
      </c>
      <c r="G53" s="135">
        <v>2.0000000000000001E-4</v>
      </c>
      <c r="H53" s="129">
        <v>890</v>
      </c>
      <c r="I53" s="129">
        <v>1677</v>
      </c>
      <c r="J53" s="129">
        <v>1</v>
      </c>
      <c r="K53" s="136">
        <v>13.833500000000001</v>
      </c>
      <c r="L53" s="129">
        <v>180</v>
      </c>
      <c r="M53" s="137">
        <v>61.036405378812731</v>
      </c>
      <c r="N53" s="129">
        <v>1</v>
      </c>
      <c r="O53" s="137"/>
      <c r="P53" s="129"/>
    </row>
    <row r="54" spans="1:16" ht="12.75" customHeight="1" x14ac:dyDescent="0.2">
      <c r="A54" s="139" t="s">
        <v>78</v>
      </c>
      <c r="B54" s="143">
        <v>339986.299999999</v>
      </c>
      <c r="C54" s="143">
        <v>4714589.07</v>
      </c>
      <c r="D54" s="134">
        <v>24.297096641172157</v>
      </c>
      <c r="E54" s="134">
        <v>25.930557407957895</v>
      </c>
      <c r="F54" s="134">
        <v>37.146686698021782</v>
      </c>
      <c r="G54" s="135">
        <v>1.8000000000000001E-4</v>
      </c>
      <c r="H54" s="129">
        <v>830</v>
      </c>
      <c r="I54" s="129">
        <v>1707</v>
      </c>
      <c r="J54" s="129">
        <v>1</v>
      </c>
      <c r="K54" s="136">
        <v>5.25</v>
      </c>
      <c r="L54" s="129">
        <v>62</v>
      </c>
      <c r="M54" s="137">
        <v>21.21359223300971</v>
      </c>
      <c r="N54" s="129">
        <v>2</v>
      </c>
      <c r="O54" s="137"/>
      <c r="P54" s="129"/>
    </row>
    <row r="55" spans="1:16" ht="12.75" customHeight="1" x14ac:dyDescent="0.2">
      <c r="A55" s="139" t="s">
        <v>81</v>
      </c>
      <c r="B55" s="143">
        <v>340214.9</v>
      </c>
      <c r="C55" s="143">
        <v>4714278.1799999904</v>
      </c>
      <c r="D55" s="134">
        <v>27.557845028300488</v>
      </c>
      <c r="E55" s="134">
        <v>32.801972507364781</v>
      </c>
      <c r="F55" s="134">
        <v>37.568592028827496</v>
      </c>
      <c r="G55" s="135">
        <v>4.0000000000000002E-4</v>
      </c>
      <c r="H55" s="129">
        <v>950</v>
      </c>
      <c r="I55" s="129">
        <v>1474</v>
      </c>
      <c r="J55" s="129">
        <v>1</v>
      </c>
      <c r="K55" s="136">
        <v>6.5789999999999997</v>
      </c>
      <c r="L55" s="129">
        <v>100</v>
      </c>
      <c r="M55" s="137">
        <v>76.915167095115677</v>
      </c>
      <c r="N55" s="129">
        <v>2</v>
      </c>
      <c r="O55" s="137"/>
      <c r="P55" s="129"/>
    </row>
    <row r="56" spans="1:16" ht="12.75" customHeight="1" x14ac:dyDescent="0.2">
      <c r="A56" s="139" t="s">
        <v>194</v>
      </c>
      <c r="B56" s="143">
        <v>339800.109999999</v>
      </c>
      <c r="C56" s="143">
        <v>4714001.2199999904</v>
      </c>
      <c r="D56" s="134">
        <v>24.489726297008239</v>
      </c>
      <c r="E56" s="134">
        <v>26.596055383745032</v>
      </c>
      <c r="F56" s="134">
        <v>37.146686698021782</v>
      </c>
      <c r="G56" s="135">
        <v>8.0000000000000007E-5</v>
      </c>
      <c r="H56" s="129">
        <v>740</v>
      </c>
      <c r="I56" s="129">
        <v>1478</v>
      </c>
      <c r="J56" s="129">
        <v>1</v>
      </c>
      <c r="K56" s="136">
        <v>1.8149999999999999</v>
      </c>
      <c r="L56" s="129">
        <v>90</v>
      </c>
      <c r="M56" s="137">
        <v>47.908073070123748</v>
      </c>
      <c r="N56" s="129">
        <v>2</v>
      </c>
      <c r="O56" s="137"/>
      <c r="P56" s="129"/>
    </row>
    <row r="57" spans="1:16" ht="12.75" customHeight="1" x14ac:dyDescent="0.2">
      <c r="A57" s="139" t="s">
        <v>84</v>
      </c>
      <c r="B57" s="143">
        <v>340764.96</v>
      </c>
      <c r="C57" s="143">
        <v>4698916.74</v>
      </c>
      <c r="D57" s="134">
        <v>19.857650233127046</v>
      </c>
      <c r="E57" s="134">
        <v>20.190735893710443</v>
      </c>
      <c r="F57" s="134">
        <v>30.173520029644333</v>
      </c>
      <c r="G57" s="135">
        <v>1.2E-4</v>
      </c>
      <c r="H57" s="129">
        <v>830</v>
      </c>
      <c r="I57" s="129">
        <v>2257</v>
      </c>
      <c r="J57" s="129">
        <v>1</v>
      </c>
      <c r="K57" s="136">
        <v>17.248999999999999</v>
      </c>
      <c r="L57" s="129">
        <v>50</v>
      </c>
      <c r="M57" s="137">
        <v>81.574394463667815</v>
      </c>
      <c r="N57" s="129">
        <v>2</v>
      </c>
      <c r="O57" s="137"/>
      <c r="P57" s="129"/>
    </row>
    <row r="58" spans="1:16" ht="12.75" customHeight="1" x14ac:dyDescent="0.2">
      <c r="A58" s="139" t="s">
        <v>197</v>
      </c>
      <c r="B58" s="143">
        <v>368322.09</v>
      </c>
      <c r="C58" s="143">
        <v>4717078.78</v>
      </c>
      <c r="D58" s="134">
        <v>21.44665077885351</v>
      </c>
      <c r="E58" s="134">
        <v>22.565087575678248</v>
      </c>
      <c r="F58" s="134">
        <v>39.111391253954345</v>
      </c>
      <c r="G58" s="135">
        <v>1.6000000000000001E-4</v>
      </c>
      <c r="H58" s="129">
        <v>1235</v>
      </c>
      <c r="I58" s="129">
        <v>2972</v>
      </c>
      <c r="J58" s="129">
        <v>4</v>
      </c>
      <c r="K58" s="136">
        <v>16.23</v>
      </c>
      <c r="L58" s="129">
        <v>135</v>
      </c>
      <c r="M58" s="137">
        <v>84.568279240661354</v>
      </c>
      <c r="N58" s="129">
        <v>2</v>
      </c>
      <c r="O58" s="137"/>
      <c r="P58" s="129"/>
    </row>
    <row r="59" spans="1:16" ht="12.75" customHeight="1" x14ac:dyDescent="0.2">
      <c r="A59" s="139" t="s">
        <v>241</v>
      </c>
      <c r="B59" s="143">
        <v>367913.549999999</v>
      </c>
      <c r="C59" s="143">
        <v>4717204.9000000004</v>
      </c>
      <c r="D59" s="134">
        <v>20.932765658542596</v>
      </c>
      <c r="E59" s="134">
        <v>23.233921925108035</v>
      </c>
      <c r="F59" s="134">
        <v>35.537677791974382</v>
      </c>
      <c r="G59" s="135">
        <v>1.8000000000000001E-4</v>
      </c>
      <c r="H59" s="129">
        <v>1260</v>
      </c>
      <c r="I59" s="129">
        <v>2935</v>
      </c>
      <c r="J59" s="129">
        <v>1</v>
      </c>
      <c r="K59" s="136">
        <v>24.675000000000001</v>
      </c>
      <c r="L59" s="129">
        <v>225</v>
      </c>
      <c r="M59" s="137">
        <v>55.059021922428329</v>
      </c>
      <c r="N59" s="129">
        <v>2</v>
      </c>
      <c r="O59" s="137"/>
      <c r="P59" s="129"/>
    </row>
    <row r="60" spans="1:16" ht="12.75" customHeight="1" x14ac:dyDescent="0.2">
      <c r="A60" s="139" t="s">
        <v>87</v>
      </c>
      <c r="B60" s="143">
        <v>318932.66999999899</v>
      </c>
      <c r="C60" s="143">
        <v>4720828.3600000003</v>
      </c>
      <c r="D60" s="134">
        <v>25.40898704819887</v>
      </c>
      <c r="E60" s="134">
        <v>27.941345954498455</v>
      </c>
      <c r="F60" s="134">
        <v>30.913275682128514</v>
      </c>
      <c r="G60" s="135">
        <v>4.0000000000000002E-4</v>
      </c>
      <c r="H60" s="129">
        <v>855</v>
      </c>
      <c r="I60" s="129">
        <v>1612</v>
      </c>
      <c r="J60" s="129">
        <v>1</v>
      </c>
      <c r="K60" s="136">
        <v>14.991</v>
      </c>
      <c r="L60" s="129">
        <v>340</v>
      </c>
      <c r="M60" s="137">
        <v>0</v>
      </c>
      <c r="N60" s="129">
        <v>2</v>
      </c>
      <c r="O60" s="137"/>
      <c r="P60" s="129"/>
    </row>
    <row r="61" spans="1:16" ht="12.75" customHeight="1" x14ac:dyDescent="0.2">
      <c r="A61" s="140" t="s">
        <v>90</v>
      </c>
      <c r="B61" s="143">
        <v>395339.52000000002</v>
      </c>
      <c r="C61" s="143">
        <v>4671832</v>
      </c>
      <c r="D61" s="134">
        <v>26.673860177197266</v>
      </c>
      <c r="E61" s="134">
        <v>24.895923681909121</v>
      </c>
      <c r="F61" s="134">
        <v>31.845160528655661</v>
      </c>
      <c r="G61" s="135">
        <v>2.0000000000000001E-4</v>
      </c>
      <c r="H61" s="129">
        <v>795</v>
      </c>
      <c r="I61" s="129">
        <v>1713</v>
      </c>
      <c r="J61" s="129">
        <v>1</v>
      </c>
      <c r="K61" s="136">
        <v>0.95899999999999996</v>
      </c>
      <c r="L61" s="129">
        <v>305</v>
      </c>
      <c r="M61" s="137">
        <v>75.492192803801757</v>
      </c>
      <c r="N61" s="129">
        <v>3</v>
      </c>
      <c r="O61" s="137"/>
      <c r="P61" s="129"/>
    </row>
    <row r="62" spans="1:16" ht="12.75" customHeight="1" x14ac:dyDescent="0.2">
      <c r="A62" s="139" t="s">
        <v>93</v>
      </c>
      <c r="B62" s="143">
        <v>398790.489999999</v>
      </c>
      <c r="C62" s="143">
        <v>4671749.0999999903</v>
      </c>
      <c r="D62" s="134">
        <v>26.647878411774304</v>
      </c>
      <c r="E62" s="134">
        <v>25.641005824305282</v>
      </c>
      <c r="F62" s="134">
        <v>34.226361812223821</v>
      </c>
      <c r="G62" s="135">
        <v>4.0000000000000002E-4</v>
      </c>
      <c r="H62" s="129">
        <v>600</v>
      </c>
      <c r="I62" s="129">
        <v>1250</v>
      </c>
      <c r="J62" s="129">
        <v>1</v>
      </c>
      <c r="K62" s="136">
        <v>0.375</v>
      </c>
      <c r="L62" s="129">
        <v>360</v>
      </c>
      <c r="M62" s="137">
        <v>64.73779385171791</v>
      </c>
      <c r="N62" s="129">
        <v>3</v>
      </c>
      <c r="O62" s="137"/>
      <c r="P62" s="129"/>
    </row>
    <row r="63" spans="1:16" ht="12.75" customHeight="1" x14ac:dyDescent="0.2">
      <c r="A63" s="139" t="s">
        <v>96</v>
      </c>
      <c r="B63" s="143">
        <v>398605.71999999898</v>
      </c>
      <c r="C63" s="143">
        <v>4671903.16</v>
      </c>
      <c r="D63" s="134">
        <v>25.786852395136673</v>
      </c>
      <c r="E63" s="134">
        <v>24.120983119442585</v>
      </c>
      <c r="F63" s="134">
        <v>34.045937356601662</v>
      </c>
      <c r="G63" s="135">
        <v>4.0000000000000002E-4</v>
      </c>
      <c r="H63" s="129">
        <v>570</v>
      </c>
      <c r="I63" s="129">
        <v>1273</v>
      </c>
      <c r="J63" s="129">
        <v>1</v>
      </c>
      <c r="K63" s="136">
        <v>0.45</v>
      </c>
      <c r="L63" s="129">
        <v>350</v>
      </c>
      <c r="M63" s="137">
        <v>74.020054694621692</v>
      </c>
      <c r="N63" s="129">
        <v>3</v>
      </c>
      <c r="O63" s="137"/>
      <c r="P63" s="129"/>
    </row>
    <row r="64" spans="1:16" ht="12.75" customHeight="1" x14ac:dyDescent="0.2">
      <c r="A64" s="140" t="s">
        <v>99</v>
      </c>
      <c r="B64" s="143">
        <v>396783.34</v>
      </c>
      <c r="C64" s="143">
        <v>4683163.8499999903</v>
      </c>
      <c r="D64" s="134">
        <v>24.70823233200597</v>
      </c>
      <c r="E64" s="134">
        <v>25.37111770991665</v>
      </c>
      <c r="F64" s="134">
        <v>35.345022904343814</v>
      </c>
      <c r="G64" s="135">
        <v>4.0000000000000002E-4</v>
      </c>
      <c r="H64" s="129">
        <v>515</v>
      </c>
      <c r="I64" s="129">
        <v>1086</v>
      </c>
      <c r="J64" s="129">
        <v>1</v>
      </c>
      <c r="K64" s="136">
        <v>0.49349999999999999</v>
      </c>
      <c r="L64" s="129">
        <v>50</v>
      </c>
      <c r="M64" s="137">
        <v>30.236634531113062</v>
      </c>
      <c r="N64" s="129">
        <v>3</v>
      </c>
      <c r="O64" s="137">
        <v>12.445223488168274</v>
      </c>
      <c r="P64" s="129">
        <v>306</v>
      </c>
    </row>
    <row r="65" spans="1:16" ht="12.75" customHeight="1" x14ac:dyDescent="0.2">
      <c r="A65" s="139" t="s">
        <v>102</v>
      </c>
      <c r="B65" s="143">
        <v>396587.31</v>
      </c>
      <c r="C65" s="143">
        <v>4683216.2</v>
      </c>
      <c r="D65" s="134">
        <v>24.379779426974828</v>
      </c>
      <c r="E65" s="134">
        <v>25.669586021744468</v>
      </c>
      <c r="F65" s="134">
        <v>39.111391253954345</v>
      </c>
      <c r="G65" s="135">
        <v>5.9999999999999995E-4</v>
      </c>
      <c r="H65" s="129">
        <v>595</v>
      </c>
      <c r="I65" s="129">
        <v>1238</v>
      </c>
      <c r="J65" s="129">
        <v>1</v>
      </c>
      <c r="K65" s="136">
        <v>3.6960000000000002</v>
      </c>
      <c r="L65" s="129">
        <v>35</v>
      </c>
      <c r="M65" s="137">
        <v>30.980683506686479</v>
      </c>
      <c r="N65" s="129">
        <v>3</v>
      </c>
      <c r="O65" s="137">
        <v>40.26745913818722</v>
      </c>
      <c r="P65" s="129">
        <v>436</v>
      </c>
    </row>
    <row r="66" spans="1:16" ht="12.75" customHeight="1" x14ac:dyDescent="0.2">
      <c r="A66" s="139" t="s">
        <v>105</v>
      </c>
      <c r="B66" s="143">
        <v>383476.56</v>
      </c>
      <c r="C66" s="143">
        <v>4682903.8499999903</v>
      </c>
      <c r="D66" s="134">
        <v>23.985749997529087</v>
      </c>
      <c r="E66" s="134">
        <v>29.940575374738568</v>
      </c>
      <c r="F66" s="134">
        <v>40.763605200941164</v>
      </c>
      <c r="G66" s="135">
        <v>5.9999999999999995E-4</v>
      </c>
      <c r="H66" s="129">
        <v>580</v>
      </c>
      <c r="I66" s="129">
        <v>1007</v>
      </c>
      <c r="J66" s="129">
        <v>1</v>
      </c>
      <c r="K66" s="136">
        <v>5.5875000000000004</v>
      </c>
      <c r="L66" s="129">
        <v>2</v>
      </c>
      <c r="M66" s="137">
        <v>18.453683442742523</v>
      </c>
      <c r="N66" s="129">
        <v>3</v>
      </c>
      <c r="O66" s="137"/>
      <c r="P66" s="129"/>
    </row>
    <row r="67" spans="1:16" ht="12.75" customHeight="1" x14ac:dyDescent="0.2">
      <c r="A67" s="139" t="s">
        <v>108</v>
      </c>
      <c r="B67" s="143">
        <v>382593.28999999899</v>
      </c>
      <c r="C67" s="143">
        <v>4682683.08</v>
      </c>
      <c r="D67" s="134">
        <v>28.119803893872611</v>
      </c>
      <c r="E67" s="134">
        <v>25.413945346983521</v>
      </c>
      <c r="F67" s="134">
        <v>32.99770510121629</v>
      </c>
      <c r="G67" s="135">
        <v>2.0000000000000001E-4</v>
      </c>
      <c r="H67" s="129">
        <v>1070</v>
      </c>
      <c r="I67" s="129">
        <v>2252</v>
      </c>
      <c r="J67" s="129">
        <v>1</v>
      </c>
      <c r="K67" s="136">
        <v>0.66</v>
      </c>
      <c r="L67" s="129">
        <v>290</v>
      </c>
      <c r="M67" s="137">
        <v>56.509380329732807</v>
      </c>
      <c r="N67" s="129">
        <v>3</v>
      </c>
      <c r="O67" s="137"/>
      <c r="P67" s="129"/>
    </row>
    <row r="68" spans="1:16" ht="12.75" customHeight="1" x14ac:dyDescent="0.2">
      <c r="A68" s="139" t="s">
        <v>199</v>
      </c>
      <c r="B68" s="143">
        <v>380526.66999999899</v>
      </c>
      <c r="C68" s="143">
        <v>4682140.24</v>
      </c>
      <c r="D68" s="134">
        <v>29.009623907726482</v>
      </c>
      <c r="E68" s="134">
        <v>25.99559227474267</v>
      </c>
      <c r="F68" s="134">
        <v>37.782620840970786</v>
      </c>
      <c r="G68" s="135">
        <v>5.9999999999999995E-4</v>
      </c>
      <c r="H68" s="129">
        <v>355</v>
      </c>
      <c r="I68" s="129">
        <v>728</v>
      </c>
      <c r="J68" s="129">
        <v>1</v>
      </c>
      <c r="K68" s="136">
        <v>0.58050000000000002</v>
      </c>
      <c r="L68" s="129">
        <v>320</v>
      </c>
      <c r="M68" s="137">
        <v>0</v>
      </c>
      <c r="N68" s="129">
        <v>3</v>
      </c>
      <c r="O68" s="137">
        <v>42.883548983364136</v>
      </c>
      <c r="P68" s="129">
        <v>276</v>
      </c>
    </row>
    <row r="69" spans="1:16" ht="12.75" customHeight="1" x14ac:dyDescent="0.2">
      <c r="A69" s="139" t="s">
        <v>201</v>
      </c>
      <c r="B69" s="143">
        <v>367885.96</v>
      </c>
      <c r="C69" s="143">
        <v>4705365.3099999903</v>
      </c>
      <c r="D69" s="134">
        <v>28.121910270063136</v>
      </c>
      <c r="E69" s="134">
        <v>24.977916763355243</v>
      </c>
      <c r="F69" s="134">
        <v>33.690067525979785</v>
      </c>
      <c r="G69" s="135">
        <v>4.0000000000000002E-4</v>
      </c>
      <c r="H69" s="129">
        <v>525</v>
      </c>
      <c r="I69" s="129">
        <v>1127</v>
      </c>
      <c r="J69" s="129">
        <v>1</v>
      </c>
      <c r="K69" s="136">
        <v>1.7204999999999999</v>
      </c>
      <c r="L69" s="129">
        <v>230</v>
      </c>
      <c r="M69" s="137">
        <v>64.845605700712596</v>
      </c>
      <c r="N69" s="129">
        <v>2</v>
      </c>
      <c r="O69" s="137">
        <v>15.439429928741092</v>
      </c>
      <c r="P69" s="129">
        <v>541</v>
      </c>
    </row>
    <row r="70" spans="1:16" ht="12.75" customHeight="1" x14ac:dyDescent="0.2">
      <c r="A70" s="128" t="s">
        <v>269</v>
      </c>
      <c r="B70" s="143">
        <v>364108.34</v>
      </c>
      <c r="C70" s="143">
        <v>4705281.46</v>
      </c>
      <c r="D70" s="134">
        <v>31.151610873740342</v>
      </c>
      <c r="E70" s="134">
        <v>27.16314320829132</v>
      </c>
      <c r="F70" s="134">
        <v>33.514583298241398</v>
      </c>
      <c r="G70" s="135">
        <v>4.0000000000000002E-4</v>
      </c>
      <c r="H70" s="129">
        <v>665</v>
      </c>
      <c r="I70" s="129">
        <v>1296</v>
      </c>
      <c r="J70" s="129">
        <v>1</v>
      </c>
      <c r="K70" s="136">
        <v>0.80400000000000005</v>
      </c>
      <c r="L70" s="129">
        <v>184</v>
      </c>
      <c r="M70" s="137">
        <v>42.312746386333771</v>
      </c>
      <c r="N70" s="129">
        <v>2</v>
      </c>
      <c r="O70" s="137">
        <v>31.537450722733247</v>
      </c>
      <c r="P70" s="129">
        <v>416</v>
      </c>
    </row>
    <row r="71" spans="1:16" ht="12.75" customHeight="1" x14ac:dyDescent="0.2">
      <c r="A71" s="139" t="s">
        <v>111</v>
      </c>
      <c r="B71" s="143">
        <v>362931.72999999899</v>
      </c>
      <c r="C71" s="143">
        <v>4705659.0099999905</v>
      </c>
      <c r="D71" s="134">
        <v>23.066667812222345</v>
      </c>
      <c r="E71" s="134">
        <v>27.005779249839001</v>
      </c>
      <c r="F71" s="134">
        <v>39.571902813889267</v>
      </c>
      <c r="G71" s="135">
        <v>4.0000000000000002E-4</v>
      </c>
      <c r="H71" s="129">
        <v>660</v>
      </c>
      <c r="I71" s="129">
        <v>1295</v>
      </c>
      <c r="J71" s="129">
        <v>1</v>
      </c>
      <c r="K71" s="136">
        <v>2.3370000000000002</v>
      </c>
      <c r="L71" s="129">
        <v>208</v>
      </c>
      <c r="M71" s="137">
        <v>84.57415128052412</v>
      </c>
      <c r="N71" s="129">
        <v>2</v>
      </c>
      <c r="O71" s="137">
        <v>17.569982132221558</v>
      </c>
      <c r="P71" s="129">
        <v>724</v>
      </c>
    </row>
    <row r="72" spans="1:16" ht="12.75" customHeight="1" x14ac:dyDescent="0.2">
      <c r="A72" s="139" t="s">
        <v>114</v>
      </c>
      <c r="B72" s="143">
        <v>362637.299999999</v>
      </c>
      <c r="C72" s="143">
        <v>4705605.1900000004</v>
      </c>
      <c r="D72" s="134">
        <v>18.963817920711463</v>
      </c>
      <c r="E72" s="134">
        <v>25.48100768331436</v>
      </c>
      <c r="F72" s="134">
        <v>33.690067525979785</v>
      </c>
      <c r="G72" s="135">
        <v>4.0000000000000002E-4</v>
      </c>
      <c r="H72" s="129">
        <v>600</v>
      </c>
      <c r="I72" s="129">
        <v>1259</v>
      </c>
      <c r="J72" s="129">
        <v>1</v>
      </c>
      <c r="K72" s="136">
        <v>3.9369999999999998</v>
      </c>
      <c r="L72" s="129">
        <v>146</v>
      </c>
      <c r="M72" s="137">
        <v>75.257201646090536</v>
      </c>
      <c r="N72" s="129">
        <v>2</v>
      </c>
      <c r="O72" s="137">
        <v>53.446502057613166</v>
      </c>
      <c r="P72" s="129">
        <v>302</v>
      </c>
    </row>
    <row r="73" spans="1:16" ht="12.75" customHeight="1" x14ac:dyDescent="0.2">
      <c r="A73" s="139" t="s">
        <v>242</v>
      </c>
      <c r="B73" s="143">
        <v>326868.609999999</v>
      </c>
      <c r="C73" s="143">
        <v>4711388.3899999904</v>
      </c>
      <c r="D73" s="134">
        <v>26.835196442551855</v>
      </c>
      <c r="E73" s="134">
        <v>28.795192441925533</v>
      </c>
      <c r="F73" s="134">
        <v>34.965120773533563</v>
      </c>
      <c r="G73" s="135">
        <v>1.2E-4</v>
      </c>
      <c r="H73" s="129">
        <v>930</v>
      </c>
      <c r="I73" s="129">
        <v>1692</v>
      </c>
      <c r="J73" s="129">
        <v>1</v>
      </c>
      <c r="K73" s="136">
        <v>2.625</v>
      </c>
      <c r="L73" s="129">
        <v>336</v>
      </c>
      <c r="M73" s="137">
        <v>29.162191192266381</v>
      </c>
      <c r="N73" s="129">
        <v>2</v>
      </c>
      <c r="O73" s="137"/>
      <c r="P73" s="129"/>
    </row>
    <row r="74" spans="1:16" ht="12.75" customHeight="1" x14ac:dyDescent="0.2">
      <c r="A74" s="139" t="s">
        <v>244</v>
      </c>
      <c r="B74" s="143">
        <v>326974.44</v>
      </c>
      <c r="C74" s="143">
        <v>4711515.3899999904</v>
      </c>
      <c r="D74" s="134">
        <v>29.031017825292945</v>
      </c>
      <c r="E74" s="134">
        <v>29.506999830693072</v>
      </c>
      <c r="F74" s="134">
        <v>34.226361812223821</v>
      </c>
      <c r="G74" s="135">
        <v>1.3999999999999999E-4</v>
      </c>
      <c r="H74" s="129">
        <v>1133</v>
      </c>
      <c r="I74" s="129">
        <v>2002</v>
      </c>
      <c r="J74" s="129">
        <v>1</v>
      </c>
      <c r="K74" s="136">
        <v>2.508</v>
      </c>
      <c r="L74" s="129">
        <v>320</v>
      </c>
      <c r="M74" s="137">
        <v>32.81628696073679</v>
      </c>
      <c r="N74" s="129">
        <v>2</v>
      </c>
      <c r="O74" s="137"/>
      <c r="P74" s="129"/>
    </row>
    <row r="75" spans="1:16" ht="12.75" customHeight="1" x14ac:dyDescent="0.2">
      <c r="A75" s="128" t="s">
        <v>285</v>
      </c>
      <c r="B75" s="143">
        <v>328899.549999999</v>
      </c>
      <c r="C75" s="143">
        <v>4714573.3799999896</v>
      </c>
      <c r="D75" s="134">
        <v>31.967554229351368</v>
      </c>
      <c r="E75" s="134">
        <v>35.176536785092424</v>
      </c>
      <c r="F75" s="134">
        <v>37.356621928520433</v>
      </c>
      <c r="G75" s="135">
        <v>4.0000000000000002E-4</v>
      </c>
      <c r="H75" s="129">
        <v>850</v>
      </c>
      <c r="I75" s="129">
        <v>1206</v>
      </c>
      <c r="J75" s="129">
        <v>5</v>
      </c>
      <c r="K75" s="136">
        <v>2.2210999999999999</v>
      </c>
      <c r="L75" s="129">
        <v>112</v>
      </c>
      <c r="M75" s="137">
        <v>54.111600587371512</v>
      </c>
      <c r="N75" s="129">
        <v>2</v>
      </c>
      <c r="O75" s="137"/>
      <c r="P75" s="129"/>
    </row>
    <row r="76" spans="1:16" ht="12.75" customHeight="1" x14ac:dyDescent="0.2">
      <c r="A76" s="139" t="s">
        <v>297</v>
      </c>
      <c r="B76" s="143">
        <v>444656.75</v>
      </c>
      <c r="C76" s="143">
        <v>4696063.3799999896</v>
      </c>
      <c r="D76" s="134">
        <v>17.670355359430424</v>
      </c>
      <c r="E76" s="134">
        <v>18.900428842755471</v>
      </c>
      <c r="F76" s="134">
        <v>27.390241970032854</v>
      </c>
      <c r="G76" s="135">
        <v>1.8000000000000001E-4</v>
      </c>
      <c r="H76" s="129">
        <v>580</v>
      </c>
      <c r="I76" s="129">
        <v>1694</v>
      </c>
      <c r="J76" s="129">
        <v>1</v>
      </c>
      <c r="K76" s="136">
        <v>3.8610000000000002</v>
      </c>
      <c r="L76" s="129">
        <v>180</v>
      </c>
      <c r="M76" s="137">
        <v>79.265223955712131</v>
      </c>
      <c r="N76" s="129">
        <v>3</v>
      </c>
      <c r="O76" s="137">
        <v>0</v>
      </c>
      <c r="P76" s="129">
        <v>0</v>
      </c>
    </row>
    <row r="77" spans="1:16" ht="12.75" customHeight="1" x14ac:dyDescent="0.2">
      <c r="A77" s="139" t="s">
        <v>291</v>
      </c>
      <c r="B77" s="143">
        <v>442808.16999999899</v>
      </c>
      <c r="C77" s="143">
        <v>4696989.66</v>
      </c>
      <c r="D77" s="134">
        <v>18.413433322801865</v>
      </c>
      <c r="E77" s="134">
        <v>20.465283698102319</v>
      </c>
      <c r="F77" s="134">
        <v>38.884496433714595</v>
      </c>
      <c r="G77" s="135">
        <v>1.8000000000000001E-4</v>
      </c>
      <c r="H77" s="129">
        <v>465</v>
      </c>
      <c r="I77" s="129">
        <v>1246</v>
      </c>
      <c r="J77" s="129">
        <v>1</v>
      </c>
      <c r="K77" s="136">
        <v>0.46550000000000002</v>
      </c>
      <c r="L77" s="129">
        <v>135</v>
      </c>
      <c r="M77" s="137">
        <v>32.102628285356694</v>
      </c>
      <c r="N77" s="129">
        <v>3</v>
      </c>
      <c r="O77" s="137"/>
      <c r="P77" s="129"/>
    </row>
    <row r="78" spans="1:16" ht="12.75" customHeight="1" x14ac:dyDescent="0.2">
      <c r="A78" s="139" t="s">
        <v>119</v>
      </c>
      <c r="B78" s="143">
        <v>442187.5</v>
      </c>
      <c r="C78" s="143">
        <v>4696488.49</v>
      </c>
      <c r="D78" s="134">
        <v>21.725184547490883</v>
      </c>
      <c r="E78" s="134">
        <v>23.974822140674508</v>
      </c>
      <c r="F78" s="134">
        <v>28.264004148523931</v>
      </c>
      <c r="G78" s="135">
        <v>4.0000000000000002E-4</v>
      </c>
      <c r="H78" s="129">
        <v>575</v>
      </c>
      <c r="I78" s="129">
        <v>1293</v>
      </c>
      <c r="J78" s="129">
        <v>1</v>
      </c>
      <c r="K78" s="136">
        <v>2.3490000000000002</v>
      </c>
      <c r="L78" s="129">
        <v>175</v>
      </c>
      <c r="M78" s="137">
        <v>73.200514138817482</v>
      </c>
      <c r="N78" s="129">
        <v>3</v>
      </c>
      <c r="O78" s="137"/>
      <c r="P78" s="129"/>
    </row>
    <row r="79" spans="1:16" ht="12.75" customHeight="1" x14ac:dyDescent="0.2">
      <c r="A79" s="139" t="s">
        <v>245</v>
      </c>
      <c r="B79" s="143">
        <v>439724.84999999899</v>
      </c>
      <c r="C79" s="143">
        <v>4693454.33</v>
      </c>
      <c r="D79" s="134">
        <v>26.441332075788303</v>
      </c>
      <c r="E79" s="134">
        <v>28.433057275102691</v>
      </c>
      <c r="F79" s="134">
        <v>33.690067525979785</v>
      </c>
      <c r="G79" s="135">
        <v>4.0000000000000002E-4</v>
      </c>
      <c r="H79" s="129">
        <v>810</v>
      </c>
      <c r="I79" s="129">
        <v>1496</v>
      </c>
      <c r="J79" s="129">
        <v>1</v>
      </c>
      <c r="K79" s="136">
        <v>3.927</v>
      </c>
      <c r="L79" s="129">
        <v>50</v>
      </c>
      <c r="M79" s="137">
        <v>64.649490713001796</v>
      </c>
      <c r="N79" s="129">
        <v>3</v>
      </c>
      <c r="O79" s="137"/>
      <c r="P79" s="129"/>
    </row>
    <row r="80" spans="1:16" ht="12.75" customHeight="1" x14ac:dyDescent="0.2">
      <c r="A80" s="139" t="s">
        <v>122</v>
      </c>
      <c r="B80" s="143">
        <v>339386.31</v>
      </c>
      <c r="C80" s="143">
        <v>4719499.7300000004</v>
      </c>
      <c r="D80" s="134">
        <v>20.339073749865506</v>
      </c>
      <c r="E80" s="134">
        <v>20.711197821618718</v>
      </c>
      <c r="F80" s="134">
        <v>33.690067525979785</v>
      </c>
      <c r="G80" s="135">
        <v>1.6000000000000001E-4</v>
      </c>
      <c r="H80" s="129">
        <v>1070</v>
      </c>
      <c r="I80" s="129">
        <v>2830</v>
      </c>
      <c r="J80" s="129">
        <v>1</v>
      </c>
      <c r="K80" s="136">
        <v>6.5279999999999996</v>
      </c>
      <c r="L80" s="129">
        <v>50</v>
      </c>
      <c r="M80" s="137">
        <v>27.741715066621115</v>
      </c>
      <c r="N80" s="129">
        <v>1</v>
      </c>
      <c r="O80" s="137"/>
      <c r="P80" s="129"/>
    </row>
    <row r="81" spans="1:16" ht="12.75" customHeight="1" x14ac:dyDescent="0.2">
      <c r="A81" s="139" t="s">
        <v>203</v>
      </c>
      <c r="B81" s="143">
        <v>316218.34000000003</v>
      </c>
      <c r="C81" s="143">
        <v>4739790.6699999897</v>
      </c>
      <c r="D81" s="134">
        <v>27.155056738060949</v>
      </c>
      <c r="E81" s="134">
        <v>28.245156620817109</v>
      </c>
      <c r="F81" s="134">
        <v>35.15417763214743</v>
      </c>
      <c r="G81" s="135">
        <v>4.0000000000000002E-4</v>
      </c>
      <c r="H81" s="129">
        <v>1090</v>
      </c>
      <c r="I81" s="129">
        <v>2029</v>
      </c>
      <c r="J81" s="129">
        <v>1</v>
      </c>
      <c r="K81" s="136">
        <v>10.66</v>
      </c>
      <c r="L81" s="129">
        <v>340</v>
      </c>
      <c r="M81" s="137">
        <v>28.327171903881698</v>
      </c>
      <c r="N81" s="129">
        <v>1</v>
      </c>
      <c r="O81" s="137"/>
      <c r="P81" s="129"/>
    </row>
    <row r="82" spans="1:16" ht="12.75" customHeight="1" x14ac:dyDescent="0.2">
      <c r="A82" s="139" t="s">
        <v>125</v>
      </c>
      <c r="B82" s="143">
        <v>323308.15000000002</v>
      </c>
      <c r="C82" s="143">
        <v>4743442.99</v>
      </c>
      <c r="D82" s="134">
        <v>25.374138740855461</v>
      </c>
      <c r="E82" s="134">
        <v>29.30220748213867</v>
      </c>
      <c r="F82" s="134">
        <v>37.782620840970786</v>
      </c>
      <c r="G82" s="135">
        <v>4.0000000000000002E-4</v>
      </c>
      <c r="H82" s="129">
        <v>660</v>
      </c>
      <c r="I82" s="129">
        <v>1176</v>
      </c>
      <c r="J82" s="129">
        <v>1</v>
      </c>
      <c r="K82" s="136">
        <v>6.5724999999999998</v>
      </c>
      <c r="L82" s="129">
        <v>182</v>
      </c>
      <c r="M82" s="137">
        <v>38.944555778223112</v>
      </c>
      <c r="N82" s="129">
        <v>1</v>
      </c>
      <c r="O82" s="137"/>
      <c r="P82" s="129"/>
    </row>
    <row r="83" spans="1:16" ht="12.75" customHeight="1" x14ac:dyDescent="0.2">
      <c r="A83" s="139" t="s">
        <v>128</v>
      </c>
      <c r="B83" s="143">
        <v>356957.4</v>
      </c>
      <c r="C83" s="143">
        <v>4725166.9199999897</v>
      </c>
      <c r="D83" s="134">
        <v>29.589704472507076</v>
      </c>
      <c r="E83" s="134">
        <v>29.543863361818413</v>
      </c>
      <c r="F83" s="134">
        <v>34.965120773533563</v>
      </c>
      <c r="G83" s="135">
        <v>1.3999999999999999E-4</v>
      </c>
      <c r="H83" s="129">
        <v>1290</v>
      </c>
      <c r="I83" s="129">
        <v>2276</v>
      </c>
      <c r="J83" s="129">
        <v>1</v>
      </c>
      <c r="K83" s="136">
        <v>6.44</v>
      </c>
      <c r="L83" s="129">
        <v>195</v>
      </c>
      <c r="M83" s="137">
        <v>49.823788546255507</v>
      </c>
      <c r="N83" s="129">
        <v>1</v>
      </c>
      <c r="O83" s="137"/>
      <c r="P83" s="129"/>
    </row>
    <row r="84" spans="1:16" ht="12.75" customHeight="1" x14ac:dyDescent="0.2">
      <c r="A84" s="139" t="s">
        <v>131</v>
      </c>
      <c r="B84" s="143">
        <v>353787.46999999898</v>
      </c>
      <c r="C84" s="143">
        <v>4726735.45</v>
      </c>
      <c r="D84" s="134">
        <v>22.446097792973472</v>
      </c>
      <c r="E84" s="134">
        <v>23.570416311271252</v>
      </c>
      <c r="F84" s="134">
        <v>31.218402764346376</v>
      </c>
      <c r="G84" s="135">
        <v>2.0000000000000001E-4</v>
      </c>
      <c r="H84" s="129">
        <v>890</v>
      </c>
      <c r="I84" s="129">
        <v>2040</v>
      </c>
      <c r="J84" s="129">
        <v>1</v>
      </c>
      <c r="K84" s="136">
        <v>7.77</v>
      </c>
      <c r="L84" s="129">
        <v>160</v>
      </c>
      <c r="M84" s="137">
        <v>58.913336326897166</v>
      </c>
      <c r="N84" s="129">
        <v>1</v>
      </c>
      <c r="O84" s="137"/>
      <c r="P84" s="129"/>
    </row>
    <row r="85" spans="1:16" ht="12.75" customHeight="1" x14ac:dyDescent="0.2">
      <c r="A85" s="139" t="s">
        <v>135</v>
      </c>
      <c r="B85" s="143">
        <v>329790.91999999899</v>
      </c>
      <c r="C85" s="143">
        <v>4730811.03</v>
      </c>
      <c r="D85" s="134">
        <v>23.78924772829486</v>
      </c>
      <c r="E85" s="134">
        <v>24.646770851931166</v>
      </c>
      <c r="F85" s="134">
        <v>33.690067525979785</v>
      </c>
      <c r="G85" s="135">
        <v>4.0000000000000002E-4</v>
      </c>
      <c r="H85" s="129">
        <v>585</v>
      </c>
      <c r="I85" s="129">
        <v>1275</v>
      </c>
      <c r="J85" s="129">
        <v>1</v>
      </c>
      <c r="K85" s="136">
        <v>2.9249999999999998</v>
      </c>
      <c r="L85" s="129">
        <v>248</v>
      </c>
      <c r="M85" s="137">
        <v>0</v>
      </c>
      <c r="N85" s="129">
        <v>1</v>
      </c>
      <c r="O85" s="137"/>
      <c r="P85" s="129"/>
    </row>
    <row r="86" spans="1:16" ht="12.75" customHeight="1" x14ac:dyDescent="0.2">
      <c r="A86" s="139" t="s">
        <v>205</v>
      </c>
      <c r="B86" s="143">
        <v>330117.75</v>
      </c>
      <c r="C86" s="143">
        <v>4731127.04</v>
      </c>
      <c r="D86" s="134">
        <v>23.695743468752479</v>
      </c>
      <c r="E86" s="134">
        <v>25.307343052673449</v>
      </c>
      <c r="F86" s="134">
        <v>36.326825952120238</v>
      </c>
      <c r="G86" s="135">
        <v>4.0000000000000002E-4</v>
      </c>
      <c r="H86" s="129">
        <v>540</v>
      </c>
      <c r="I86" s="129">
        <v>1142</v>
      </c>
      <c r="J86" s="129">
        <v>1</v>
      </c>
      <c r="K86" s="136">
        <v>0.61750000000000005</v>
      </c>
      <c r="L86" s="129">
        <v>300</v>
      </c>
      <c r="M86" s="137">
        <v>13.991163475699558</v>
      </c>
      <c r="N86" s="129">
        <v>1</v>
      </c>
      <c r="O86" s="137"/>
      <c r="P86" s="129"/>
    </row>
    <row r="87" spans="1:16" ht="12.75" customHeight="1" x14ac:dyDescent="0.2">
      <c r="A87" s="139" t="s">
        <v>138</v>
      </c>
      <c r="B87" s="143">
        <v>327854.609999999</v>
      </c>
      <c r="C87" s="143">
        <v>4733981.46</v>
      </c>
      <c r="D87" s="134">
        <v>22.019157418139233</v>
      </c>
      <c r="E87" s="134">
        <v>25.722720438702414</v>
      </c>
      <c r="F87" s="134">
        <v>27.634765076362047</v>
      </c>
      <c r="G87" s="135">
        <v>2.0000000000000001E-4</v>
      </c>
      <c r="H87" s="129">
        <v>845</v>
      </c>
      <c r="I87" s="129">
        <v>1754</v>
      </c>
      <c r="J87" s="129">
        <v>1</v>
      </c>
      <c r="K87" s="136">
        <v>2.7719999999999998</v>
      </c>
      <c r="L87" s="129">
        <v>115</v>
      </c>
      <c r="M87" s="137">
        <v>47.534053546265852</v>
      </c>
      <c r="N87" s="129">
        <v>1</v>
      </c>
      <c r="O87" s="137"/>
      <c r="P87" s="129"/>
    </row>
    <row r="88" spans="1:16" ht="12.75" customHeight="1" x14ac:dyDescent="0.2">
      <c r="A88" s="139" t="s">
        <v>207</v>
      </c>
      <c r="B88" s="143">
        <v>327107.08</v>
      </c>
      <c r="C88" s="143">
        <v>4733642.29</v>
      </c>
      <c r="D88" s="134">
        <v>18.897563690042116</v>
      </c>
      <c r="E88" s="134">
        <v>19.719208608020587</v>
      </c>
      <c r="F88" s="134">
        <v>27.883340620448209</v>
      </c>
      <c r="G88" s="135">
        <v>8.0000000000000007E-5</v>
      </c>
      <c r="H88" s="129">
        <v>895</v>
      </c>
      <c r="I88" s="129">
        <v>2497</v>
      </c>
      <c r="J88" s="129">
        <v>4</v>
      </c>
      <c r="K88" s="136">
        <v>4.68</v>
      </c>
      <c r="L88" s="129">
        <v>150</v>
      </c>
      <c r="M88" s="137">
        <v>76.931608133086868</v>
      </c>
      <c r="N88" s="129">
        <v>1</v>
      </c>
      <c r="O88" s="137"/>
      <c r="P88" s="129"/>
    </row>
    <row r="89" spans="1:16" ht="12.75" customHeight="1" x14ac:dyDescent="0.2">
      <c r="A89" s="139" t="s">
        <v>141</v>
      </c>
      <c r="B89" s="143">
        <v>327838.44</v>
      </c>
      <c r="C89" s="143">
        <v>4731519.7199999904</v>
      </c>
      <c r="D89" s="134">
        <v>31.32549546946975</v>
      </c>
      <c r="E89" s="134">
        <v>32.729751804370288</v>
      </c>
      <c r="F89" s="134">
        <v>36.938762732289831</v>
      </c>
      <c r="G89" s="135">
        <v>5.9999999999999995E-4</v>
      </c>
      <c r="H89" s="129">
        <v>680</v>
      </c>
      <c r="I89" s="129">
        <v>1058</v>
      </c>
      <c r="J89" s="129">
        <v>1</v>
      </c>
      <c r="K89" s="136">
        <v>2.415</v>
      </c>
      <c r="L89" s="129">
        <v>180</v>
      </c>
      <c r="M89" s="137">
        <v>0</v>
      </c>
      <c r="N89" s="129">
        <v>1</v>
      </c>
      <c r="O89" s="137"/>
      <c r="P89" s="129"/>
    </row>
    <row r="90" spans="1:16" ht="12.75" customHeight="1" x14ac:dyDescent="0.2">
      <c r="A90" s="139" t="s">
        <v>145</v>
      </c>
      <c r="B90" s="143">
        <v>350984.77</v>
      </c>
      <c r="C90" s="143">
        <v>4723243.66</v>
      </c>
      <c r="D90" s="134">
        <v>22.674926773016168</v>
      </c>
      <c r="E90" s="134">
        <v>22.519204862719189</v>
      </c>
      <c r="F90" s="134">
        <v>31.845160528655661</v>
      </c>
      <c r="G90" s="135">
        <v>2.0000000000000001E-4</v>
      </c>
      <c r="H90" s="129">
        <v>1090</v>
      </c>
      <c r="I90" s="129">
        <v>2629</v>
      </c>
      <c r="J90" s="129">
        <v>1</v>
      </c>
      <c r="K90" s="136">
        <v>10.176</v>
      </c>
      <c r="L90" s="129">
        <v>255</v>
      </c>
      <c r="M90" s="137">
        <v>71.876208897485498</v>
      </c>
      <c r="N90" s="129">
        <v>1</v>
      </c>
      <c r="O90" s="137"/>
      <c r="P90" s="129"/>
    </row>
    <row r="91" spans="1:16" ht="12.75" customHeight="1" x14ac:dyDescent="0.2">
      <c r="A91" s="128" t="s">
        <v>268</v>
      </c>
      <c r="B91" s="143">
        <v>362021.53</v>
      </c>
      <c r="C91" s="143">
        <v>4707647.0899999896</v>
      </c>
      <c r="D91" s="134">
        <v>28.468918996594326</v>
      </c>
      <c r="E91" s="134">
        <v>22.468796720281102</v>
      </c>
      <c r="F91" s="134">
        <v>32.66091272167381</v>
      </c>
      <c r="G91" s="135">
        <v>4.0000000000000002E-4</v>
      </c>
      <c r="H91" s="129">
        <v>1115</v>
      </c>
      <c r="I91" s="129">
        <v>2696</v>
      </c>
      <c r="J91" s="129">
        <v>1</v>
      </c>
      <c r="K91" s="136">
        <v>0.627</v>
      </c>
      <c r="L91" s="129">
        <v>352</v>
      </c>
      <c r="M91" s="137">
        <v>0</v>
      </c>
      <c r="N91" s="129">
        <v>2</v>
      </c>
      <c r="O91" s="137">
        <v>59.718309859154928</v>
      </c>
      <c r="P91" s="129">
        <v>236</v>
      </c>
    </row>
    <row r="92" spans="1:16" ht="12.75" customHeight="1" x14ac:dyDescent="0.2">
      <c r="A92" s="139" t="s">
        <v>148</v>
      </c>
      <c r="B92" s="143">
        <v>362541.4</v>
      </c>
      <c r="C92" s="143">
        <v>4707607.2300000004</v>
      </c>
      <c r="D92" s="134">
        <v>27.138430906679083</v>
      </c>
      <c r="E92" s="134">
        <v>27.54895690910298</v>
      </c>
      <c r="F92" s="134">
        <v>36.126715772789915</v>
      </c>
      <c r="G92" s="135">
        <v>4.0000000000000002E-4</v>
      </c>
      <c r="H92" s="129">
        <v>530</v>
      </c>
      <c r="I92" s="129">
        <v>1016</v>
      </c>
      <c r="J92" s="129">
        <v>1</v>
      </c>
      <c r="K92" s="136">
        <v>5.5439999999999996</v>
      </c>
      <c r="L92" s="129">
        <v>358</v>
      </c>
      <c r="M92" s="137">
        <v>6.1895551257253389</v>
      </c>
      <c r="N92" s="129">
        <v>2</v>
      </c>
      <c r="O92" s="137">
        <v>65.087040618955513</v>
      </c>
      <c r="P92" s="129">
        <v>310</v>
      </c>
    </row>
    <row r="93" spans="1:16" ht="12.75" customHeight="1" x14ac:dyDescent="0.2">
      <c r="A93" s="139" t="s">
        <v>209</v>
      </c>
      <c r="B93" s="143">
        <v>362927.87</v>
      </c>
      <c r="C93" s="143">
        <v>4707610.96</v>
      </c>
      <c r="D93" s="134">
        <v>25.709953780811265</v>
      </c>
      <c r="E93" s="134">
        <v>23.678786858100903</v>
      </c>
      <c r="F93" s="134">
        <v>29.190311518239078</v>
      </c>
      <c r="G93" s="135">
        <v>2.0000000000000001E-4</v>
      </c>
      <c r="H93" s="129">
        <v>560</v>
      </c>
      <c r="I93" s="129">
        <v>1277</v>
      </c>
      <c r="J93" s="129">
        <v>1</v>
      </c>
      <c r="K93" s="136">
        <v>0.99199999999999999</v>
      </c>
      <c r="L93" s="129">
        <v>358</v>
      </c>
      <c r="M93" s="137">
        <v>0</v>
      </c>
      <c r="N93" s="129">
        <v>2</v>
      </c>
      <c r="O93" s="137">
        <v>30.052910052910054</v>
      </c>
      <c r="P93" s="129">
        <v>661</v>
      </c>
    </row>
    <row r="94" spans="1:16" ht="12.75" customHeight="1" x14ac:dyDescent="0.2">
      <c r="A94" s="139" t="s">
        <v>151</v>
      </c>
      <c r="B94" s="143">
        <v>362541.4</v>
      </c>
      <c r="C94" s="143">
        <v>4707607.2300000004</v>
      </c>
      <c r="D94" s="134">
        <v>22.131090829907983</v>
      </c>
      <c r="E94" s="134">
        <v>21.268953726697411</v>
      </c>
      <c r="F94" s="134">
        <v>34.777831366363877</v>
      </c>
      <c r="G94" s="135">
        <v>1.2E-4</v>
      </c>
      <c r="H94" s="129">
        <v>1225</v>
      </c>
      <c r="I94" s="129">
        <v>3147</v>
      </c>
      <c r="J94" s="129">
        <v>1</v>
      </c>
      <c r="K94" s="136">
        <v>5.8109999999999999</v>
      </c>
      <c r="L94" s="129">
        <v>340</v>
      </c>
      <c r="M94" s="137">
        <v>59.260563380281695</v>
      </c>
      <c r="N94" s="129">
        <v>2</v>
      </c>
      <c r="O94" s="137">
        <v>67.218309859154928</v>
      </c>
      <c r="P94" s="129">
        <v>965</v>
      </c>
    </row>
    <row r="95" spans="1:16" ht="12.75" customHeight="1" x14ac:dyDescent="0.2">
      <c r="A95" s="139" t="s">
        <v>247</v>
      </c>
      <c r="B95" s="143">
        <v>367531.81</v>
      </c>
      <c r="C95" s="143">
        <v>4719196.33</v>
      </c>
      <c r="D95" s="134">
        <v>30.149365465604951</v>
      </c>
      <c r="E95" s="134">
        <v>32.803045273198258</v>
      </c>
      <c r="F95" s="134">
        <v>42.797401838234194</v>
      </c>
      <c r="G95" s="135">
        <v>8.0000000000000004E-4</v>
      </c>
      <c r="H95" s="129">
        <v>495</v>
      </c>
      <c r="I95" s="129">
        <v>768</v>
      </c>
      <c r="J95" s="129">
        <v>2</v>
      </c>
      <c r="K95" s="136">
        <v>1.157</v>
      </c>
      <c r="L95" s="129">
        <v>90</v>
      </c>
      <c r="M95" s="137">
        <v>0</v>
      </c>
      <c r="N95" s="129">
        <v>2</v>
      </c>
      <c r="O95" s="137"/>
      <c r="P95" s="129"/>
    </row>
    <row r="96" spans="1:16" ht="12.75" customHeight="1" x14ac:dyDescent="0.2">
      <c r="A96" s="139" t="s">
        <v>256</v>
      </c>
      <c r="B96" s="143">
        <v>365004.96</v>
      </c>
      <c r="C96" s="143">
        <v>4717320.74</v>
      </c>
      <c r="D96" s="134">
        <v>25.052986689274654</v>
      </c>
      <c r="E96" s="134">
        <v>26.543514110238792</v>
      </c>
      <c r="F96" s="134">
        <v>34.045937356601662</v>
      </c>
      <c r="G96" s="135">
        <v>1.3999999999999999E-4</v>
      </c>
      <c r="H96" s="129">
        <v>1595</v>
      </c>
      <c r="I96" s="129">
        <v>3193</v>
      </c>
      <c r="J96" s="129">
        <v>1</v>
      </c>
      <c r="K96" s="136">
        <v>11.47</v>
      </c>
      <c r="L96" s="129">
        <v>225</v>
      </c>
      <c r="M96" s="137">
        <v>58.141493542953391</v>
      </c>
      <c r="N96" s="129">
        <v>2</v>
      </c>
      <c r="O96" s="137"/>
      <c r="P96" s="129"/>
    </row>
    <row r="97" spans="1:16" ht="12.75" customHeight="1" x14ac:dyDescent="0.2">
      <c r="A97" s="140" t="s">
        <v>250</v>
      </c>
      <c r="B97" s="143">
        <v>369401.83</v>
      </c>
      <c r="C97" s="143">
        <v>4719805.9699999904</v>
      </c>
      <c r="D97" s="134">
        <v>23.030403777012626</v>
      </c>
      <c r="E97" s="134">
        <v>26.169117742018809</v>
      </c>
      <c r="F97" s="134">
        <v>28.009176708013833</v>
      </c>
      <c r="G97" s="135">
        <v>4.0000000000000002E-4</v>
      </c>
      <c r="H97" s="129">
        <v>685</v>
      </c>
      <c r="I97" s="129">
        <v>1394</v>
      </c>
      <c r="J97" s="129">
        <v>1</v>
      </c>
      <c r="K97" s="136">
        <v>7.8250000000000002</v>
      </c>
      <c r="L97" s="129">
        <v>235</v>
      </c>
      <c r="M97" s="137">
        <v>8.444187391555813</v>
      </c>
      <c r="N97" s="129">
        <v>2</v>
      </c>
      <c r="O97" s="137"/>
      <c r="P97" s="129"/>
    </row>
    <row r="98" spans="1:16" ht="12.75" customHeight="1" x14ac:dyDescent="0.2">
      <c r="A98" s="128" t="s">
        <v>287</v>
      </c>
      <c r="B98" s="143">
        <v>361147.46</v>
      </c>
      <c r="C98" s="143">
        <v>4719828.7199999904</v>
      </c>
      <c r="D98" s="134">
        <v>27.765408786819016</v>
      </c>
      <c r="E98" s="134">
        <v>29.00987206774003</v>
      </c>
      <c r="F98" s="134">
        <v>32.99770510121629</v>
      </c>
      <c r="G98" s="135">
        <v>2.0000000000000001E-4</v>
      </c>
      <c r="H98" s="129">
        <v>905</v>
      </c>
      <c r="I98" s="129">
        <v>1632</v>
      </c>
      <c r="J98" s="129">
        <v>3</v>
      </c>
      <c r="K98" s="136">
        <v>1.7375</v>
      </c>
      <c r="L98" s="129">
        <v>146</v>
      </c>
      <c r="M98" s="137">
        <v>83.478766724840028</v>
      </c>
      <c r="N98" s="129">
        <v>2</v>
      </c>
      <c r="O98" s="137"/>
      <c r="P98" s="129"/>
    </row>
    <row r="99" spans="1:16" ht="12.75" customHeight="1" x14ac:dyDescent="0.2">
      <c r="A99" s="141"/>
      <c r="B99" s="142"/>
    </row>
    <row r="100" spans="1:16" ht="12.75" customHeight="1" x14ac:dyDescent="0.2">
      <c r="A100" s="141"/>
    </row>
  </sheetData>
  <pageMargins left="0.70866141732283472" right="0.70866141732283472" top="0.74803149606299213" bottom="0.74803149606299213" header="0.31496062992125984" footer="0.31496062992125984"/>
  <pageSetup paperSize="9" scale="72" fitToHeight="2"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Llistat total</vt:lpstr>
      <vt:lpstr>Llistat publicació</vt:lpstr>
      <vt:lpstr>'Llistat publicació'!Títulos_a_imprimir</vt:lpstr>
    </vt:vector>
  </TitlesOfParts>
  <Company>ACNA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 Oller Figueras</dc:creator>
  <cp:lastModifiedBy>GeoNeu_Risk</cp:lastModifiedBy>
  <cp:lastPrinted>2021-01-08T17:05:03Z</cp:lastPrinted>
  <dcterms:created xsi:type="dcterms:W3CDTF">2015-12-05T23:29:14Z</dcterms:created>
  <dcterms:modified xsi:type="dcterms:W3CDTF">2021-01-08T17:05:23Z</dcterms:modified>
</cp:coreProperties>
</file>