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udent\Desktop\PhD\COVID-19\MANUSCRIPT\For submission\Cambridge Journal\Final cambridge\After reviewers comments\"/>
    </mc:Choice>
  </mc:AlternateContent>
  <bookViews>
    <workbookView xWindow="0" yWindow="0" windowWidth="20250" windowHeight="4980" tabRatio="926"/>
  </bookViews>
  <sheets>
    <sheet name="App.1(TRA)" sheetId="49" r:id="rId1"/>
    <sheet name="App.2(ICU-vent. cap)" sheetId="4" r:id="rId2"/>
    <sheet name="App.3(China)" sheetId="60" r:id="rId3"/>
    <sheet name="App.3(Italy)" sheetId="59" r:id="rId4"/>
    <sheet name="App.3(Germany)" sheetId="62" r:id="rId5"/>
    <sheet name="App.3(Spain)" sheetId="63" r:id="rId6"/>
    <sheet name="App.3(France)" sheetId="64" r:id="rId7"/>
    <sheet name="App.3(USA)" sheetId="61" r:id="rId8"/>
    <sheet name="App.4(TFR)" sheetId="13" r:id="rId9"/>
    <sheet name="Forecast Graphs" sheetId="53" state="hidden" r:id="rId10"/>
  </sheets>
  <externalReferences>
    <externalReference r:id="rId11"/>
  </externalReferences>
  <definedNames>
    <definedName name="_xlnm.Print_Area" localSheetId="0">'App.1(TRA)'!$A$1:$G$141</definedName>
    <definedName name="_xlnm.Print_Area" localSheetId="1">'App.2(ICU-vent. cap)'!$A$1:$J$32</definedName>
    <definedName name="_xlnm.Print_Area" localSheetId="2">'App.3(China)'!$A$1:$L$100</definedName>
    <definedName name="_xlnm.Print_Area" localSheetId="6">'App.3(France)'!$A$1:$L$145</definedName>
    <definedName name="_xlnm.Print_Area" localSheetId="4">'App.3(Germany)'!$A$5:$L$128</definedName>
    <definedName name="_xlnm.Print_Area" localSheetId="3">'App.3(Italy)'!$A$1:$L$135</definedName>
    <definedName name="_xlnm.Print_Area" localSheetId="5">'App.3(Spain)'!$A$1:$L$155</definedName>
    <definedName name="_xlnm.Print_Area" localSheetId="7">'App.3(USA)'!$A$1:$L$184</definedName>
    <definedName name="_xlnm.Print_Area" localSheetId="8">'App.4(TFR)'!$A$3:$G$45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13" l="1"/>
  <c r="B34" i="13"/>
  <c r="B30" i="13"/>
  <c r="D58" i="49" l="1"/>
  <c r="D59" i="49"/>
  <c r="B33" i="13"/>
  <c r="B32" i="13"/>
  <c r="B31" i="13"/>
  <c r="C30" i="13"/>
  <c r="D30" i="13" s="1"/>
  <c r="F30" i="13" s="1"/>
  <c r="D11" i="13"/>
  <c r="C34" i="13" s="1"/>
  <c r="D10" i="13"/>
  <c r="C33" i="13" s="1"/>
  <c r="D9" i="13"/>
  <c r="C32" i="13" s="1"/>
  <c r="D8" i="13"/>
  <c r="C31" i="13" s="1"/>
  <c r="D6" i="13"/>
  <c r="C29" i="13" s="1"/>
  <c r="D29" i="13" s="1"/>
  <c r="F29" i="13" s="1"/>
  <c r="G29" i="13" s="1"/>
  <c r="D31" i="13" l="1"/>
  <c r="F31" i="13" s="1"/>
  <c r="G31" i="13" s="1"/>
  <c r="G30" i="13"/>
  <c r="D34" i="13"/>
  <c r="F34" i="13" s="1"/>
  <c r="G34" i="13" s="1"/>
  <c r="D33" i="13"/>
  <c r="D32" i="13"/>
  <c r="G183" i="61"/>
  <c r="G182" i="61"/>
  <c r="G181" i="61"/>
  <c r="G180" i="61"/>
  <c r="G179" i="61"/>
  <c r="G178" i="61"/>
  <c r="G177" i="61"/>
  <c r="G176" i="61"/>
  <c r="G175" i="61"/>
  <c r="L174" i="61"/>
  <c r="K174" i="61"/>
  <c r="G174" i="61"/>
  <c r="F174" i="61"/>
  <c r="G173" i="61"/>
  <c r="G172" i="61"/>
  <c r="G171" i="61"/>
  <c r="G170" i="61"/>
  <c r="G169" i="61"/>
  <c r="G168" i="61"/>
  <c r="G167" i="61"/>
  <c r="G166" i="61"/>
  <c r="G165" i="61"/>
  <c r="L164" i="61"/>
  <c r="K164" i="61"/>
  <c r="G164" i="61"/>
  <c r="F164" i="61"/>
  <c r="G163" i="61"/>
  <c r="G162" i="61"/>
  <c r="G161" i="61"/>
  <c r="G160" i="61"/>
  <c r="G159" i="61"/>
  <c r="G158" i="61"/>
  <c r="G157" i="61"/>
  <c r="G156" i="61"/>
  <c r="G155" i="61"/>
  <c r="L154" i="61"/>
  <c r="K154" i="61"/>
  <c r="G154" i="61"/>
  <c r="F154" i="61"/>
  <c r="G153" i="61"/>
  <c r="G152" i="61"/>
  <c r="G151" i="61"/>
  <c r="G150" i="61"/>
  <c r="G149" i="61"/>
  <c r="G148" i="61"/>
  <c r="G147" i="61"/>
  <c r="G146" i="61"/>
  <c r="G145" i="61"/>
  <c r="L144" i="61"/>
  <c r="K144" i="61"/>
  <c r="G144" i="61"/>
  <c r="F144" i="61"/>
  <c r="G143" i="61"/>
  <c r="G142" i="61"/>
  <c r="G141" i="61"/>
  <c r="G140" i="61"/>
  <c r="G139" i="61"/>
  <c r="G138" i="61"/>
  <c r="G137" i="61"/>
  <c r="G136" i="61"/>
  <c r="G135" i="61"/>
  <c r="L134" i="61"/>
  <c r="K134" i="61"/>
  <c r="G134" i="61"/>
  <c r="F134" i="61"/>
  <c r="G133" i="61"/>
  <c r="G132" i="61"/>
  <c r="G131" i="61"/>
  <c r="G130" i="61"/>
  <c r="G129" i="61"/>
  <c r="G128" i="61"/>
  <c r="G127" i="61"/>
  <c r="G126" i="61"/>
  <c r="G125" i="61"/>
  <c r="L124" i="61"/>
  <c r="K124" i="61"/>
  <c r="G124" i="61"/>
  <c r="F124" i="61"/>
  <c r="G123" i="61"/>
  <c r="G122" i="61"/>
  <c r="G121" i="61"/>
  <c r="G120" i="61"/>
  <c r="G119" i="61"/>
  <c r="G118" i="61"/>
  <c r="G117" i="61"/>
  <c r="G116" i="61"/>
  <c r="G115" i="61"/>
  <c r="L114" i="61"/>
  <c r="K114" i="61"/>
  <c r="G114" i="61"/>
  <c r="F114" i="61"/>
  <c r="G113" i="61"/>
  <c r="G112" i="61"/>
  <c r="G111" i="61"/>
  <c r="G110" i="61"/>
  <c r="G109" i="61"/>
  <c r="G108" i="61"/>
  <c r="G107" i="61"/>
  <c r="G106" i="61"/>
  <c r="G105" i="61"/>
  <c r="L104" i="61"/>
  <c r="K104" i="61"/>
  <c r="G104" i="61"/>
  <c r="F104" i="61"/>
  <c r="G103" i="61"/>
  <c r="G102" i="61"/>
  <c r="G101" i="61"/>
  <c r="G100" i="61"/>
  <c r="G99" i="61"/>
  <c r="G98" i="61"/>
  <c r="G97" i="61"/>
  <c r="G96" i="61"/>
  <c r="G95" i="61"/>
  <c r="L94" i="61"/>
  <c r="G94" i="61"/>
  <c r="F94" i="61"/>
  <c r="G93" i="61"/>
  <c r="G92" i="61"/>
  <c r="G91" i="61"/>
  <c r="G90" i="61"/>
  <c r="G89" i="61"/>
  <c r="G88" i="61"/>
  <c r="G87" i="61"/>
  <c r="G86" i="61"/>
  <c r="G85" i="61"/>
  <c r="L84" i="61"/>
  <c r="G84" i="61"/>
  <c r="F84" i="61"/>
  <c r="G83" i="61"/>
  <c r="G82" i="61"/>
  <c r="G81" i="61"/>
  <c r="G80" i="61"/>
  <c r="G79" i="61"/>
  <c r="G78" i="61"/>
  <c r="G77" i="61"/>
  <c r="G76" i="61"/>
  <c r="G75" i="61"/>
  <c r="L74" i="61"/>
  <c r="G74" i="61"/>
  <c r="F74" i="61"/>
  <c r="G73" i="61"/>
  <c r="G72" i="61"/>
  <c r="G71" i="61"/>
  <c r="G70" i="61"/>
  <c r="G69" i="61"/>
  <c r="G68" i="61"/>
  <c r="G67" i="61"/>
  <c r="G66" i="61"/>
  <c r="G65" i="61"/>
  <c r="L64" i="61"/>
  <c r="G64" i="61"/>
  <c r="F64" i="61"/>
  <c r="G63" i="61"/>
  <c r="G62" i="61"/>
  <c r="G61" i="61"/>
  <c r="G60" i="61"/>
  <c r="G59" i="61"/>
  <c r="G58" i="61"/>
  <c r="G57" i="61"/>
  <c r="G56" i="61"/>
  <c r="G55" i="61"/>
  <c r="L54" i="61"/>
  <c r="G54" i="61"/>
  <c r="F54" i="61"/>
  <c r="G53" i="61"/>
  <c r="E53" i="61"/>
  <c r="G52" i="61"/>
  <c r="E52" i="61"/>
  <c r="G51" i="61"/>
  <c r="E51" i="61"/>
  <c r="G50" i="61"/>
  <c r="E50" i="61"/>
  <c r="G49" i="61"/>
  <c r="E49" i="61"/>
  <c r="G48" i="61"/>
  <c r="E48" i="61"/>
  <c r="G47" i="61"/>
  <c r="E47" i="61"/>
  <c r="G46" i="61"/>
  <c r="E46" i="61"/>
  <c r="F44" i="61" s="1"/>
  <c r="G45" i="61"/>
  <c r="E45" i="61"/>
  <c r="L44" i="61"/>
  <c r="G44" i="61"/>
  <c r="E43" i="61"/>
  <c r="E42" i="61"/>
  <c r="E41" i="61"/>
  <c r="E40" i="61"/>
  <c r="F34" i="61" s="1"/>
  <c r="G40" i="61" s="1"/>
  <c r="E39" i="61"/>
  <c r="E38" i="61"/>
  <c r="E37" i="61"/>
  <c r="E36" i="61"/>
  <c r="E35" i="61"/>
  <c r="E34" i="61"/>
  <c r="E33" i="61"/>
  <c r="E32" i="61"/>
  <c r="E31" i="61"/>
  <c r="E30" i="61"/>
  <c r="E29" i="61"/>
  <c r="E28" i="61"/>
  <c r="E27" i="61"/>
  <c r="E26" i="61"/>
  <c r="E25" i="61"/>
  <c r="F24" i="61" s="1"/>
  <c r="G33" i="61" s="1"/>
  <c r="E24" i="61"/>
  <c r="E23" i="61"/>
  <c r="E22" i="61"/>
  <c r="E21" i="61"/>
  <c r="E20" i="61"/>
  <c r="E19" i="61"/>
  <c r="E18" i="61"/>
  <c r="E17" i="61"/>
  <c r="E16" i="61"/>
  <c r="E15" i="61"/>
  <c r="E14" i="61"/>
  <c r="F14" i="61" s="1"/>
  <c r="G20" i="61" s="1"/>
  <c r="E13" i="61"/>
  <c r="E12" i="61"/>
  <c r="E11" i="61"/>
  <c r="E10" i="61"/>
  <c r="E9" i="61"/>
  <c r="E8" i="61"/>
  <c r="E7" i="61"/>
  <c r="E6" i="61"/>
  <c r="E5" i="61"/>
  <c r="E4" i="61"/>
  <c r="G143" i="64"/>
  <c r="G142" i="64"/>
  <c r="G141" i="64"/>
  <c r="G140" i="64"/>
  <c r="G139" i="64"/>
  <c r="G138" i="64"/>
  <c r="G137" i="64"/>
  <c r="G136" i="64"/>
  <c r="G135" i="64"/>
  <c r="L134" i="64"/>
  <c r="G134" i="64"/>
  <c r="G133" i="64"/>
  <c r="G132" i="64"/>
  <c r="G131" i="64"/>
  <c r="G130" i="64"/>
  <c r="G129" i="64"/>
  <c r="G128" i="64"/>
  <c r="G127" i="64"/>
  <c r="G126" i="64"/>
  <c r="G125" i="64"/>
  <c r="L124" i="64"/>
  <c r="G124" i="64"/>
  <c r="G123" i="64"/>
  <c r="G122" i="64"/>
  <c r="G121" i="64"/>
  <c r="G120" i="64"/>
  <c r="G119" i="64"/>
  <c r="G118" i="64"/>
  <c r="G117" i="64"/>
  <c r="G116" i="64"/>
  <c r="G115" i="64"/>
  <c r="L114" i="64"/>
  <c r="G114" i="64"/>
  <c r="G113" i="64"/>
  <c r="G112" i="64"/>
  <c r="G111" i="64"/>
  <c r="G110" i="64"/>
  <c r="G109" i="64"/>
  <c r="G108" i="64"/>
  <c r="G107" i="64"/>
  <c r="G106" i="64"/>
  <c r="G105" i="64"/>
  <c r="L104" i="64"/>
  <c r="G104" i="64"/>
  <c r="G103" i="64"/>
  <c r="G102" i="64"/>
  <c r="G101" i="64"/>
  <c r="G100" i="64"/>
  <c r="G99" i="64"/>
  <c r="G98" i="64"/>
  <c r="G97" i="64"/>
  <c r="G96" i="64"/>
  <c r="G95" i="64"/>
  <c r="L94" i="64"/>
  <c r="G94" i="64"/>
  <c r="F94" i="64"/>
  <c r="G93" i="64"/>
  <c r="G92" i="64"/>
  <c r="G91" i="64"/>
  <c r="G90" i="64"/>
  <c r="G89" i="64"/>
  <c r="G88" i="64"/>
  <c r="G87" i="64"/>
  <c r="G86" i="64"/>
  <c r="G85" i="64"/>
  <c r="L84" i="64"/>
  <c r="G84" i="64"/>
  <c r="F84" i="64"/>
  <c r="G83" i="64"/>
  <c r="G82" i="64"/>
  <c r="G81" i="64"/>
  <c r="G80" i="64"/>
  <c r="G79" i="64"/>
  <c r="G78" i="64"/>
  <c r="G77" i="64"/>
  <c r="G76" i="64"/>
  <c r="G75" i="64"/>
  <c r="L74" i="64"/>
  <c r="G74" i="64"/>
  <c r="F74" i="64"/>
  <c r="G73" i="64"/>
  <c r="G72" i="64"/>
  <c r="G71" i="64"/>
  <c r="G70" i="64"/>
  <c r="G69" i="64"/>
  <c r="G68" i="64"/>
  <c r="G67" i="64"/>
  <c r="G66" i="64"/>
  <c r="G65" i="64"/>
  <c r="L64" i="64"/>
  <c r="G64" i="64"/>
  <c r="F64" i="64"/>
  <c r="G63" i="64"/>
  <c r="G62" i="64"/>
  <c r="G61" i="64"/>
  <c r="G60" i="64"/>
  <c r="G59" i="64"/>
  <c r="G58" i="64"/>
  <c r="G57" i="64"/>
  <c r="G56" i="64"/>
  <c r="G55" i="64"/>
  <c r="L54" i="64"/>
  <c r="G54" i="64"/>
  <c r="F54" i="64"/>
  <c r="G53" i="64"/>
  <c r="E53" i="64"/>
  <c r="G52" i="64"/>
  <c r="E52" i="64"/>
  <c r="G51" i="64"/>
  <c r="E51" i="64"/>
  <c r="G50" i="64"/>
  <c r="E50" i="64"/>
  <c r="G49" i="64"/>
  <c r="E49" i="64"/>
  <c r="G48" i="64"/>
  <c r="E48" i="64"/>
  <c r="G47" i="64"/>
  <c r="E47" i="64"/>
  <c r="G46" i="64"/>
  <c r="E46" i="64"/>
  <c r="G45" i="64"/>
  <c r="E45" i="64"/>
  <c r="L44" i="64"/>
  <c r="G44" i="64"/>
  <c r="E44" i="64"/>
  <c r="E43" i="64"/>
  <c r="E42" i="64"/>
  <c r="E41" i="64"/>
  <c r="E40" i="64"/>
  <c r="E39" i="64"/>
  <c r="E38" i="64"/>
  <c r="E37" i="64"/>
  <c r="E36" i="64"/>
  <c r="E35" i="64"/>
  <c r="E34" i="64"/>
  <c r="E33" i="64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7" i="64"/>
  <c r="E6" i="64"/>
  <c r="E5" i="64"/>
  <c r="G153" i="63"/>
  <c r="G152" i="63"/>
  <c r="G151" i="63"/>
  <c r="G150" i="63"/>
  <c r="G149" i="63"/>
  <c r="G148" i="63"/>
  <c r="G147" i="63"/>
  <c r="G146" i="63"/>
  <c r="G145" i="63"/>
  <c r="L144" i="63"/>
  <c r="G144" i="63"/>
  <c r="G143" i="63"/>
  <c r="G142" i="63"/>
  <c r="G141" i="63"/>
  <c r="G140" i="63"/>
  <c r="G139" i="63"/>
  <c r="G138" i="63"/>
  <c r="G137" i="63"/>
  <c r="G136" i="63"/>
  <c r="G135" i="63"/>
  <c r="L134" i="63"/>
  <c r="G134" i="63"/>
  <c r="G133" i="63"/>
  <c r="G132" i="63"/>
  <c r="G131" i="63"/>
  <c r="G130" i="63"/>
  <c r="G129" i="63"/>
  <c r="G128" i="63"/>
  <c r="G127" i="63"/>
  <c r="G126" i="63"/>
  <c r="G125" i="63"/>
  <c r="L124" i="63"/>
  <c r="G124" i="63"/>
  <c r="G123" i="63"/>
  <c r="G122" i="63"/>
  <c r="G121" i="63"/>
  <c r="G120" i="63"/>
  <c r="G119" i="63"/>
  <c r="G118" i="63"/>
  <c r="G117" i="63"/>
  <c r="G116" i="63"/>
  <c r="G115" i="63"/>
  <c r="L114" i="63"/>
  <c r="G114" i="63"/>
  <c r="G113" i="63"/>
  <c r="G112" i="63"/>
  <c r="G111" i="63"/>
  <c r="G110" i="63"/>
  <c r="G109" i="63"/>
  <c r="G108" i="63"/>
  <c r="G107" i="63"/>
  <c r="G106" i="63"/>
  <c r="G105" i="63"/>
  <c r="L104" i="63"/>
  <c r="G104" i="63"/>
  <c r="G103" i="63"/>
  <c r="G102" i="63"/>
  <c r="G101" i="63"/>
  <c r="G100" i="63"/>
  <c r="G99" i="63"/>
  <c r="G98" i="63"/>
  <c r="G97" i="63"/>
  <c r="G96" i="63"/>
  <c r="G95" i="63"/>
  <c r="L94" i="63"/>
  <c r="G94" i="63"/>
  <c r="G93" i="63"/>
  <c r="G92" i="63"/>
  <c r="G91" i="63"/>
  <c r="G90" i="63"/>
  <c r="G89" i="63"/>
  <c r="G88" i="63"/>
  <c r="G87" i="63"/>
  <c r="G86" i="63"/>
  <c r="G85" i="63"/>
  <c r="L84" i="63"/>
  <c r="G84" i="63"/>
  <c r="G83" i="63"/>
  <c r="G82" i="63"/>
  <c r="G81" i="63"/>
  <c r="G80" i="63"/>
  <c r="G79" i="63"/>
  <c r="G78" i="63"/>
  <c r="G77" i="63"/>
  <c r="G76" i="63"/>
  <c r="G75" i="63"/>
  <c r="L74" i="63"/>
  <c r="G74" i="63"/>
  <c r="G73" i="63"/>
  <c r="G72" i="63"/>
  <c r="G71" i="63"/>
  <c r="G70" i="63"/>
  <c r="G69" i="63"/>
  <c r="G68" i="63"/>
  <c r="G67" i="63"/>
  <c r="G66" i="63"/>
  <c r="G65" i="63"/>
  <c r="L64" i="63"/>
  <c r="G64" i="63"/>
  <c r="G63" i="63"/>
  <c r="G62" i="63"/>
  <c r="G61" i="63"/>
  <c r="G60" i="63"/>
  <c r="G59" i="63"/>
  <c r="G58" i="63"/>
  <c r="G57" i="63"/>
  <c r="G56" i="63"/>
  <c r="G55" i="63"/>
  <c r="L54" i="63"/>
  <c r="G54" i="63"/>
  <c r="G53" i="63"/>
  <c r="E53" i="63"/>
  <c r="G52" i="63"/>
  <c r="E52" i="63"/>
  <c r="G51" i="63"/>
  <c r="E51" i="63"/>
  <c r="G50" i="63"/>
  <c r="E50" i="63"/>
  <c r="G49" i="63"/>
  <c r="E49" i="63"/>
  <c r="G48" i="63"/>
  <c r="E48" i="63"/>
  <c r="G47" i="63"/>
  <c r="E47" i="63"/>
  <c r="G46" i="63"/>
  <c r="E46" i="63"/>
  <c r="G45" i="63"/>
  <c r="E45" i="63"/>
  <c r="L44" i="63"/>
  <c r="G44" i="63"/>
  <c r="F44" i="63"/>
  <c r="E44" i="63"/>
  <c r="E43" i="63"/>
  <c r="E42" i="63"/>
  <c r="E41" i="63"/>
  <c r="E40" i="63"/>
  <c r="E39" i="63"/>
  <c r="E38" i="63"/>
  <c r="E37" i="63"/>
  <c r="F34" i="63" s="1"/>
  <c r="E36" i="63"/>
  <c r="E35" i="63"/>
  <c r="E34" i="63"/>
  <c r="E33" i="63"/>
  <c r="E32" i="63"/>
  <c r="E31" i="63"/>
  <c r="E30" i="63"/>
  <c r="E29" i="63"/>
  <c r="E28" i="63"/>
  <c r="E27" i="63"/>
  <c r="E26" i="63"/>
  <c r="E25" i="63"/>
  <c r="L24" i="63"/>
  <c r="E24" i="63"/>
  <c r="E23" i="63"/>
  <c r="E22" i="63"/>
  <c r="E21" i="63"/>
  <c r="E20" i="63"/>
  <c r="E19" i="63"/>
  <c r="E18" i="63"/>
  <c r="E17" i="63"/>
  <c r="E16" i="63"/>
  <c r="E15" i="63"/>
  <c r="F14" i="63"/>
  <c r="G23" i="63" s="1"/>
  <c r="E14" i="63"/>
  <c r="E13" i="63"/>
  <c r="E12" i="63"/>
  <c r="E11" i="63"/>
  <c r="E10" i="63"/>
  <c r="E9" i="63"/>
  <c r="E8" i="63"/>
  <c r="E7" i="63"/>
  <c r="E6" i="63"/>
  <c r="E5" i="63"/>
  <c r="E4" i="63"/>
  <c r="G127" i="62"/>
  <c r="G126" i="62"/>
  <c r="G125" i="62"/>
  <c r="G124" i="62"/>
  <c r="G123" i="62"/>
  <c r="G122" i="62"/>
  <c r="G121" i="62"/>
  <c r="G120" i="62"/>
  <c r="G119" i="62"/>
  <c r="L118" i="62"/>
  <c r="G118" i="62"/>
  <c r="F118" i="62"/>
  <c r="G117" i="62"/>
  <c r="G116" i="62"/>
  <c r="G115" i="62"/>
  <c r="G114" i="62"/>
  <c r="G113" i="62"/>
  <c r="G112" i="62"/>
  <c r="G111" i="62"/>
  <c r="G110" i="62"/>
  <c r="G109" i="62"/>
  <c r="L108" i="62"/>
  <c r="G108" i="62"/>
  <c r="F108" i="62"/>
  <c r="G107" i="62"/>
  <c r="G106" i="62"/>
  <c r="G105" i="62"/>
  <c r="G104" i="62"/>
  <c r="G103" i="62"/>
  <c r="G102" i="62"/>
  <c r="G101" i="62"/>
  <c r="G100" i="62"/>
  <c r="G99" i="62"/>
  <c r="L98" i="62"/>
  <c r="G98" i="62"/>
  <c r="F98" i="62"/>
  <c r="G97" i="62"/>
  <c r="G96" i="62"/>
  <c r="G95" i="62"/>
  <c r="G94" i="62"/>
  <c r="G93" i="62"/>
  <c r="G92" i="62"/>
  <c r="G91" i="62"/>
  <c r="G90" i="62"/>
  <c r="G89" i="62"/>
  <c r="L88" i="62"/>
  <c r="G88" i="62"/>
  <c r="F88" i="62"/>
  <c r="G87" i="62"/>
  <c r="G86" i="62"/>
  <c r="G85" i="62"/>
  <c r="G84" i="62"/>
  <c r="G83" i="62"/>
  <c r="G82" i="62"/>
  <c r="G81" i="62"/>
  <c r="G80" i="62"/>
  <c r="G79" i="62"/>
  <c r="L78" i="62"/>
  <c r="G78" i="62"/>
  <c r="F78" i="62"/>
  <c r="G77" i="62"/>
  <c r="G76" i="62"/>
  <c r="G75" i="62"/>
  <c r="G74" i="62"/>
  <c r="G73" i="62"/>
  <c r="G72" i="62"/>
  <c r="G71" i="62"/>
  <c r="G70" i="62"/>
  <c r="G69" i="62"/>
  <c r="L68" i="62"/>
  <c r="G68" i="62"/>
  <c r="F68" i="62"/>
  <c r="G67" i="62"/>
  <c r="G66" i="62"/>
  <c r="G65" i="62"/>
  <c r="G64" i="62"/>
  <c r="G63" i="62"/>
  <c r="G62" i="62"/>
  <c r="G61" i="62"/>
  <c r="G60" i="62"/>
  <c r="G59" i="62"/>
  <c r="L58" i="62"/>
  <c r="G58" i="62"/>
  <c r="F58" i="62"/>
  <c r="G57" i="62"/>
  <c r="E57" i="62"/>
  <c r="G56" i="62"/>
  <c r="E56" i="62"/>
  <c r="G55" i="62"/>
  <c r="E55" i="62"/>
  <c r="G54" i="62"/>
  <c r="E54" i="62"/>
  <c r="G53" i="62"/>
  <c r="E53" i="62"/>
  <c r="G52" i="62"/>
  <c r="E52" i="62"/>
  <c r="G51" i="62"/>
  <c r="E51" i="62"/>
  <c r="G50" i="62"/>
  <c r="E50" i="62"/>
  <c r="G49" i="62"/>
  <c r="E49" i="62"/>
  <c r="L48" i="62"/>
  <c r="G48" i="62"/>
  <c r="E48" i="62"/>
  <c r="E47" i="62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G133" i="59"/>
  <c r="G132" i="59"/>
  <c r="G131" i="59"/>
  <c r="G130" i="59"/>
  <c r="G129" i="59"/>
  <c r="G128" i="59"/>
  <c r="G127" i="59"/>
  <c r="G126" i="59"/>
  <c r="G125" i="59"/>
  <c r="L124" i="59"/>
  <c r="G124" i="59"/>
  <c r="F124" i="59"/>
  <c r="G123" i="59"/>
  <c r="G122" i="59"/>
  <c r="G121" i="59"/>
  <c r="G120" i="59"/>
  <c r="G119" i="59"/>
  <c r="G118" i="59"/>
  <c r="G117" i="59"/>
  <c r="G116" i="59"/>
  <c r="G115" i="59"/>
  <c r="L114" i="59"/>
  <c r="G114" i="59"/>
  <c r="F114" i="59"/>
  <c r="G113" i="59"/>
  <c r="G112" i="59"/>
  <c r="G111" i="59"/>
  <c r="G110" i="59"/>
  <c r="G109" i="59"/>
  <c r="G108" i="59"/>
  <c r="G107" i="59"/>
  <c r="G106" i="59"/>
  <c r="G105" i="59"/>
  <c r="L104" i="59"/>
  <c r="G104" i="59"/>
  <c r="F104" i="59"/>
  <c r="G103" i="59"/>
  <c r="G102" i="59"/>
  <c r="G101" i="59"/>
  <c r="G100" i="59"/>
  <c r="G99" i="59"/>
  <c r="G98" i="59"/>
  <c r="G97" i="59"/>
  <c r="G96" i="59"/>
  <c r="G95" i="59"/>
  <c r="L94" i="59"/>
  <c r="G94" i="59"/>
  <c r="F94" i="59"/>
  <c r="G93" i="59"/>
  <c r="G92" i="59"/>
  <c r="G91" i="59"/>
  <c r="G90" i="59"/>
  <c r="G89" i="59"/>
  <c r="G88" i="59"/>
  <c r="G87" i="59"/>
  <c r="G86" i="59"/>
  <c r="G85" i="59"/>
  <c r="L84" i="59"/>
  <c r="G84" i="59"/>
  <c r="F84" i="59"/>
  <c r="G83" i="59"/>
  <c r="G82" i="59"/>
  <c r="G81" i="59"/>
  <c r="G80" i="59"/>
  <c r="G79" i="59"/>
  <c r="G78" i="59"/>
  <c r="G77" i="59"/>
  <c r="G76" i="59"/>
  <c r="G75" i="59"/>
  <c r="L74" i="59"/>
  <c r="G74" i="59"/>
  <c r="F74" i="59"/>
  <c r="G73" i="59"/>
  <c r="G72" i="59"/>
  <c r="G71" i="59"/>
  <c r="G70" i="59"/>
  <c r="G69" i="59"/>
  <c r="G68" i="59"/>
  <c r="G67" i="59"/>
  <c r="G66" i="59"/>
  <c r="G65" i="59"/>
  <c r="L64" i="59"/>
  <c r="G64" i="59"/>
  <c r="F64" i="59"/>
  <c r="G63" i="59"/>
  <c r="G62" i="59"/>
  <c r="G61" i="59"/>
  <c r="G60" i="59"/>
  <c r="G59" i="59"/>
  <c r="G58" i="59"/>
  <c r="G57" i="59"/>
  <c r="G56" i="59"/>
  <c r="G55" i="59"/>
  <c r="L54" i="59"/>
  <c r="G54" i="59"/>
  <c r="F54" i="59"/>
  <c r="G53" i="59"/>
  <c r="E53" i="59"/>
  <c r="G52" i="59"/>
  <c r="E52" i="59"/>
  <c r="G51" i="59"/>
  <c r="E51" i="59"/>
  <c r="G50" i="59"/>
  <c r="E50" i="59"/>
  <c r="G49" i="59"/>
  <c r="E49" i="59"/>
  <c r="G48" i="59"/>
  <c r="E48" i="59"/>
  <c r="G47" i="59"/>
  <c r="E47" i="59"/>
  <c r="G46" i="59"/>
  <c r="E46" i="59"/>
  <c r="G45" i="59"/>
  <c r="E45" i="59"/>
  <c r="L44" i="59"/>
  <c r="G44" i="59"/>
  <c r="E44" i="59"/>
  <c r="F44" i="59" s="1"/>
  <c r="E43" i="59"/>
  <c r="E42" i="59"/>
  <c r="E41" i="59"/>
  <c r="E40" i="59"/>
  <c r="E39" i="59"/>
  <c r="E38" i="59"/>
  <c r="E37" i="59"/>
  <c r="E36" i="59"/>
  <c r="E35" i="59"/>
  <c r="E34" i="59"/>
  <c r="E33" i="59"/>
  <c r="E32" i="59"/>
  <c r="E31" i="59"/>
  <c r="E30" i="59"/>
  <c r="E29" i="59"/>
  <c r="E28" i="59"/>
  <c r="E27" i="59"/>
  <c r="E26" i="59"/>
  <c r="E25" i="59"/>
  <c r="L24" i="59"/>
  <c r="E24" i="59"/>
  <c r="E23" i="59"/>
  <c r="E22" i="59"/>
  <c r="E21" i="59"/>
  <c r="E20" i="59"/>
  <c r="E19" i="59"/>
  <c r="E18" i="59"/>
  <c r="E17" i="59"/>
  <c r="E16" i="59"/>
  <c r="E15" i="59"/>
  <c r="E14" i="59"/>
  <c r="F14" i="59" s="1"/>
  <c r="G23" i="59" s="1"/>
  <c r="E13" i="59"/>
  <c r="E12" i="59"/>
  <c r="E11" i="59"/>
  <c r="E10" i="59"/>
  <c r="E9" i="59"/>
  <c r="E8" i="59"/>
  <c r="E7" i="59"/>
  <c r="E6" i="59"/>
  <c r="E5" i="59"/>
  <c r="E4" i="59"/>
  <c r="L100" i="60"/>
  <c r="G99" i="60"/>
  <c r="E99" i="60"/>
  <c r="G98" i="60"/>
  <c r="E98" i="60"/>
  <c r="G97" i="60"/>
  <c r="E97" i="60"/>
  <c r="G96" i="60"/>
  <c r="E96" i="60"/>
  <c r="G95" i="60"/>
  <c r="E95" i="60"/>
  <c r="G94" i="60"/>
  <c r="E94" i="60"/>
  <c r="E93" i="60"/>
  <c r="E92" i="60"/>
  <c r="E91" i="60"/>
  <c r="E90" i="60"/>
  <c r="E89" i="60"/>
  <c r="E88" i="60"/>
  <c r="E87" i="60"/>
  <c r="E86" i="60"/>
  <c r="E85" i="60"/>
  <c r="E84" i="60"/>
  <c r="E83" i="60"/>
  <c r="E82" i="60"/>
  <c r="E81" i="60"/>
  <c r="E80" i="60"/>
  <c r="E79" i="60"/>
  <c r="E78" i="60"/>
  <c r="E77" i="60"/>
  <c r="E76" i="60"/>
  <c r="E75" i="60"/>
  <c r="E74" i="60"/>
  <c r="E73" i="60"/>
  <c r="E72" i="60"/>
  <c r="E71" i="60"/>
  <c r="E70" i="60"/>
  <c r="E69" i="60"/>
  <c r="E68" i="60"/>
  <c r="E67" i="60"/>
  <c r="E66" i="60"/>
  <c r="E65" i="60"/>
  <c r="E64" i="60"/>
  <c r="E63" i="60"/>
  <c r="E62" i="60"/>
  <c r="E61" i="60"/>
  <c r="E60" i="60"/>
  <c r="E59" i="60"/>
  <c r="E58" i="60"/>
  <c r="E57" i="60"/>
  <c r="E56" i="60"/>
  <c r="E55" i="60"/>
  <c r="E54" i="60"/>
  <c r="E53" i="60"/>
  <c r="E52" i="60"/>
  <c r="E51" i="60"/>
  <c r="E50" i="60"/>
  <c r="E49" i="60"/>
  <c r="E48" i="60"/>
  <c r="E47" i="60"/>
  <c r="E46" i="60"/>
  <c r="E45" i="60"/>
  <c r="E44" i="60"/>
  <c r="E43" i="60"/>
  <c r="E42" i="60"/>
  <c r="E41" i="60"/>
  <c r="E40" i="60"/>
  <c r="E39" i="60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E8" i="60"/>
  <c r="E7" i="60"/>
  <c r="E6" i="60"/>
  <c r="E5" i="60"/>
  <c r="E4" i="60"/>
  <c r="F4" i="64" l="1"/>
  <c r="F24" i="64"/>
  <c r="F4" i="59"/>
  <c r="F4" i="61"/>
  <c r="G12" i="61" s="1"/>
  <c r="F24" i="59"/>
  <c r="F8" i="62"/>
  <c r="F34" i="59"/>
  <c r="G40" i="59" s="1"/>
  <c r="F4" i="63"/>
  <c r="G12" i="63" s="1"/>
  <c r="F14" i="64"/>
  <c r="F34" i="64"/>
  <c r="F24" i="63"/>
  <c r="F44" i="64"/>
  <c r="G10" i="61"/>
  <c r="G13" i="61"/>
  <c r="G9" i="61"/>
  <c r="G5" i="61"/>
  <c r="G8" i="61"/>
  <c r="G11" i="61"/>
  <c r="G7" i="61"/>
  <c r="G4" i="61"/>
  <c r="G6" i="61"/>
  <c r="G26" i="61"/>
  <c r="G14" i="61"/>
  <c r="G24" i="61"/>
  <c r="G34" i="61"/>
  <c r="G17" i="61"/>
  <c r="G21" i="61"/>
  <c r="G27" i="61"/>
  <c r="G31" i="61"/>
  <c r="G37" i="61"/>
  <c r="G41" i="61"/>
  <c r="G16" i="61"/>
  <c r="G30" i="61"/>
  <c r="G36" i="61"/>
  <c r="G18" i="61"/>
  <c r="G22" i="61"/>
  <c r="G28" i="61"/>
  <c r="G32" i="61"/>
  <c r="G38" i="61"/>
  <c r="G42" i="61"/>
  <c r="G15" i="61"/>
  <c r="G19" i="61"/>
  <c r="G23" i="61"/>
  <c r="G25" i="61"/>
  <c r="G29" i="61"/>
  <c r="G35" i="61"/>
  <c r="G39" i="61"/>
  <c r="G43" i="61"/>
  <c r="G14" i="64"/>
  <c r="G21" i="64"/>
  <c r="G20" i="64"/>
  <c r="G16" i="64"/>
  <c r="G23" i="64"/>
  <c r="G19" i="64"/>
  <c r="G15" i="64"/>
  <c r="G22" i="64"/>
  <c r="G18" i="64"/>
  <c r="G17" i="64"/>
  <c r="G34" i="64"/>
  <c r="G41" i="64"/>
  <c r="G40" i="64"/>
  <c r="G36" i="64"/>
  <c r="G43" i="64"/>
  <c r="G39" i="64"/>
  <c r="G35" i="64"/>
  <c r="G42" i="64"/>
  <c r="G38" i="64"/>
  <c r="G37" i="64"/>
  <c r="G10" i="64"/>
  <c r="G6" i="64"/>
  <c r="G11" i="64"/>
  <c r="G13" i="64"/>
  <c r="G9" i="64"/>
  <c r="G5" i="64"/>
  <c r="G7" i="64"/>
  <c r="G12" i="64"/>
  <c r="G8" i="64"/>
  <c r="G4" i="64"/>
  <c r="G24" i="64"/>
  <c r="G30" i="64"/>
  <c r="G26" i="64"/>
  <c r="G31" i="64"/>
  <c r="G33" i="64"/>
  <c r="G29" i="64"/>
  <c r="G25" i="64"/>
  <c r="G32" i="64"/>
  <c r="G28" i="64"/>
  <c r="G27" i="64"/>
  <c r="G30" i="63"/>
  <c r="G26" i="63"/>
  <c r="G33" i="63"/>
  <c r="G29" i="63"/>
  <c r="G25" i="63"/>
  <c r="G32" i="63"/>
  <c r="G28" i="63"/>
  <c r="G31" i="63"/>
  <c r="G27" i="63"/>
  <c r="G24" i="63"/>
  <c r="G40" i="63"/>
  <c r="G36" i="63"/>
  <c r="G43" i="63"/>
  <c r="G39" i="63"/>
  <c r="G35" i="63"/>
  <c r="G42" i="63"/>
  <c r="G38" i="63"/>
  <c r="G41" i="63"/>
  <c r="G37" i="63"/>
  <c r="G34" i="63"/>
  <c r="G13" i="63"/>
  <c r="G9" i="63"/>
  <c r="G5" i="63"/>
  <c r="G10" i="63"/>
  <c r="G11" i="63"/>
  <c r="G7" i="63"/>
  <c r="G4" i="63"/>
  <c r="G14" i="63"/>
  <c r="G17" i="63"/>
  <c r="G21" i="63"/>
  <c r="G20" i="63"/>
  <c r="G18" i="63"/>
  <c r="G22" i="63"/>
  <c r="G16" i="63"/>
  <c r="G15" i="63"/>
  <c r="G19" i="63"/>
  <c r="F28" i="62"/>
  <c r="F18" i="62"/>
  <c r="G19" i="62" s="1"/>
  <c r="F38" i="62"/>
  <c r="F48" i="62"/>
  <c r="G17" i="62"/>
  <c r="G16" i="62"/>
  <c r="G12" i="62"/>
  <c r="G10" i="62"/>
  <c r="G13" i="62"/>
  <c r="G15" i="62"/>
  <c r="G11" i="62"/>
  <c r="G8" i="62"/>
  <c r="G9" i="62"/>
  <c r="G14" i="62"/>
  <c r="G27" i="62"/>
  <c r="G23" i="62"/>
  <c r="G26" i="62"/>
  <c r="G24" i="62"/>
  <c r="G25" i="62"/>
  <c r="G21" i="62"/>
  <c r="G18" i="62"/>
  <c r="G20" i="62"/>
  <c r="G37" i="62"/>
  <c r="G33" i="62"/>
  <c r="G29" i="62"/>
  <c r="G36" i="62"/>
  <c r="G32" i="62"/>
  <c r="G35" i="62"/>
  <c r="G31" i="62"/>
  <c r="G30" i="62"/>
  <c r="G28" i="62"/>
  <c r="G34" i="62"/>
  <c r="G47" i="62"/>
  <c r="G43" i="62"/>
  <c r="G39" i="62"/>
  <c r="G46" i="62"/>
  <c r="G42" i="62"/>
  <c r="G40" i="62"/>
  <c r="G45" i="62"/>
  <c r="G41" i="62"/>
  <c r="G44" i="62"/>
  <c r="G38" i="62"/>
  <c r="F84" i="60"/>
  <c r="G89" i="60" s="1"/>
  <c r="F4" i="60"/>
  <c r="G7" i="60" s="1"/>
  <c r="F14" i="60"/>
  <c r="G22" i="60" s="1"/>
  <c r="F54" i="60"/>
  <c r="G58" i="60" s="1"/>
  <c r="F94" i="60"/>
  <c r="H94" i="60" s="1"/>
  <c r="F64" i="60"/>
  <c r="G72" i="60" s="1"/>
  <c r="H24" i="60"/>
  <c r="G27" i="60" s="1"/>
  <c r="F44" i="60"/>
  <c r="G51" i="60" s="1"/>
  <c r="F34" i="60"/>
  <c r="G43" i="60" s="1"/>
  <c r="F74" i="60"/>
  <c r="G83" i="60" s="1"/>
  <c r="G30" i="59"/>
  <c r="G26" i="59"/>
  <c r="G33" i="59"/>
  <c r="G29" i="59"/>
  <c r="G25" i="59"/>
  <c r="G32" i="59"/>
  <c r="G28" i="59"/>
  <c r="G31" i="59"/>
  <c r="G27" i="59"/>
  <c r="G24" i="59"/>
  <c r="G38" i="59"/>
  <c r="G13" i="59"/>
  <c r="G9" i="59"/>
  <c r="G5" i="59"/>
  <c r="G12" i="59"/>
  <c r="G8" i="59"/>
  <c r="G11" i="59"/>
  <c r="G7" i="59"/>
  <c r="G4" i="59"/>
  <c r="G6" i="59"/>
  <c r="G10" i="59"/>
  <c r="G14" i="59"/>
  <c r="G20" i="59"/>
  <c r="G17" i="59"/>
  <c r="G21" i="59"/>
  <c r="G16" i="59"/>
  <c r="G18" i="59"/>
  <c r="G22" i="59"/>
  <c r="G15" i="59"/>
  <c r="G19" i="59"/>
  <c r="G42" i="60"/>
  <c r="G38" i="60"/>
  <c r="G37" i="60"/>
  <c r="G35" i="60"/>
  <c r="G40" i="60"/>
  <c r="G36" i="60"/>
  <c r="G39" i="60"/>
  <c r="G81" i="60"/>
  <c r="G65" i="60"/>
  <c r="G68" i="60"/>
  <c r="G71" i="60"/>
  <c r="G67" i="60"/>
  <c r="G73" i="60"/>
  <c r="G64" i="60"/>
  <c r="G69" i="60"/>
  <c r="G70" i="60"/>
  <c r="G66" i="60"/>
  <c r="G49" i="60"/>
  <c r="G52" i="60"/>
  <c r="G48" i="60"/>
  <c r="G47" i="60"/>
  <c r="G45" i="60"/>
  <c r="G12" i="60"/>
  <c r="G8" i="60"/>
  <c r="G10" i="60"/>
  <c r="G6" i="60"/>
  <c r="G32" i="60"/>
  <c r="L24" i="60"/>
  <c r="G31" i="60"/>
  <c r="G25" i="60"/>
  <c r="G30" i="60"/>
  <c r="G92" i="60"/>
  <c r="G88" i="60"/>
  <c r="G91" i="60"/>
  <c r="G87" i="60"/>
  <c r="G84" i="60"/>
  <c r="G93" i="60"/>
  <c r="G90" i="60"/>
  <c r="G86" i="60"/>
  <c r="G62" i="60"/>
  <c r="G57" i="60"/>
  <c r="G54" i="60"/>
  <c r="G63" i="60"/>
  <c r="G60" i="60"/>
  <c r="G56" i="60"/>
  <c r="L94" i="60"/>
  <c r="F24" i="60"/>
  <c r="F59" i="49"/>
  <c r="G59" i="49" s="1"/>
  <c r="F60" i="49"/>
  <c r="G60" i="49" s="1"/>
  <c r="F61" i="49"/>
  <c r="G61" i="49" s="1"/>
  <c r="F62" i="49"/>
  <c r="G62" i="49" s="1"/>
  <c r="F58" i="49"/>
  <c r="G58" i="49" s="1"/>
  <c r="E58" i="49"/>
  <c r="E59" i="49"/>
  <c r="D60" i="49"/>
  <c r="E60" i="49" s="1"/>
  <c r="D61" i="49"/>
  <c r="E61" i="49" s="1"/>
  <c r="D62" i="49"/>
  <c r="E62" i="49" s="1"/>
  <c r="D57" i="49"/>
  <c r="E57" i="49" s="1"/>
  <c r="G20" i="60" l="1"/>
  <c r="G34" i="59"/>
  <c r="H24" i="64"/>
  <c r="G42" i="59"/>
  <c r="G35" i="59"/>
  <c r="G128" i="62"/>
  <c r="G55" i="60"/>
  <c r="H54" i="60" s="1"/>
  <c r="G85" i="60"/>
  <c r="G46" i="60"/>
  <c r="G34" i="60"/>
  <c r="G43" i="59"/>
  <c r="G22" i="62"/>
  <c r="G6" i="63"/>
  <c r="G61" i="60"/>
  <c r="G41" i="60"/>
  <c r="G37" i="59"/>
  <c r="G36" i="59"/>
  <c r="G8" i="63"/>
  <c r="G39" i="59"/>
  <c r="G50" i="60"/>
  <c r="G59" i="60"/>
  <c r="G44" i="60"/>
  <c r="G74" i="60"/>
  <c r="H74" i="60" s="1"/>
  <c r="G41" i="59"/>
  <c r="H24" i="61"/>
  <c r="H34" i="61"/>
  <c r="H14" i="61"/>
  <c r="K84" i="61"/>
  <c r="L24" i="61"/>
  <c r="K94" i="61"/>
  <c r="G184" i="61"/>
  <c r="H4" i="61"/>
  <c r="G144" i="64"/>
  <c r="H4" i="64"/>
  <c r="H34" i="64"/>
  <c r="K124" i="64" s="1"/>
  <c r="K134" i="64"/>
  <c r="L24" i="64"/>
  <c r="H14" i="64"/>
  <c r="H14" i="63"/>
  <c r="G154" i="63"/>
  <c r="H4" i="63"/>
  <c r="H34" i="63"/>
  <c r="H8" i="62"/>
  <c r="H38" i="62"/>
  <c r="H28" i="62"/>
  <c r="H18" i="62"/>
  <c r="G14" i="60"/>
  <c r="H14" i="60" s="1"/>
  <c r="G9" i="60"/>
  <c r="G77" i="60"/>
  <c r="G26" i="60"/>
  <c r="G28" i="60"/>
  <c r="G19" i="60"/>
  <c r="G5" i="60"/>
  <c r="G78" i="60"/>
  <c r="H44" i="60"/>
  <c r="L44" i="60" s="1"/>
  <c r="G29" i="60"/>
  <c r="G21" i="60"/>
  <c r="G11" i="60"/>
  <c r="G75" i="60"/>
  <c r="G4" i="60"/>
  <c r="H4" i="60" s="1"/>
  <c r="G82" i="60"/>
  <c r="G24" i="60"/>
  <c r="G33" i="60"/>
  <c r="G23" i="60"/>
  <c r="G18" i="60"/>
  <c r="G13" i="60"/>
  <c r="G53" i="60"/>
  <c r="G76" i="60"/>
  <c r="G79" i="60"/>
  <c r="G15" i="60"/>
  <c r="H84" i="60"/>
  <c r="L84" i="60" s="1"/>
  <c r="G17" i="60"/>
  <c r="G16" i="60"/>
  <c r="G80" i="60"/>
  <c r="H14" i="59"/>
  <c r="H34" i="59"/>
  <c r="G134" i="59"/>
  <c r="H4" i="59"/>
  <c r="H34" i="60"/>
  <c r="H64" i="60"/>
  <c r="B62" i="49"/>
  <c r="B57" i="49"/>
  <c r="H128" i="62" l="1"/>
  <c r="G100" i="60"/>
  <c r="H184" i="61"/>
  <c r="K64" i="61"/>
  <c r="L4" i="61"/>
  <c r="K74" i="61"/>
  <c r="L14" i="61"/>
  <c r="K14" i="61"/>
  <c r="K24" i="61"/>
  <c r="K54" i="61"/>
  <c r="L34" i="61"/>
  <c r="K34" i="61"/>
  <c r="K44" i="61"/>
  <c r="K14" i="64"/>
  <c r="L14" i="64"/>
  <c r="K24" i="64"/>
  <c r="K54" i="64"/>
  <c r="K44" i="64"/>
  <c r="K34" i="64"/>
  <c r="L34" i="64"/>
  <c r="H144" i="64"/>
  <c r="K104" i="64"/>
  <c r="K84" i="64"/>
  <c r="K64" i="64"/>
  <c r="K114" i="64"/>
  <c r="K94" i="64"/>
  <c r="L4" i="64"/>
  <c r="K74" i="64"/>
  <c r="K134" i="63"/>
  <c r="K54" i="63"/>
  <c r="L34" i="63"/>
  <c r="K144" i="63"/>
  <c r="K124" i="63"/>
  <c r="K34" i="63"/>
  <c r="K44" i="63"/>
  <c r="L14" i="63"/>
  <c r="K14" i="63"/>
  <c r="K24" i="63"/>
  <c r="H154" i="63"/>
  <c r="K114" i="63"/>
  <c r="K94" i="63"/>
  <c r="K74" i="63"/>
  <c r="L4" i="63"/>
  <c r="K104" i="63"/>
  <c r="K84" i="63"/>
  <c r="K64" i="63"/>
  <c r="K118" i="62"/>
  <c r="K68" i="62"/>
  <c r="K98" i="62"/>
  <c r="L8" i="62"/>
  <c r="K88" i="62"/>
  <c r="K78" i="62"/>
  <c r="K108" i="62"/>
  <c r="L18" i="62"/>
  <c r="K18" i="62"/>
  <c r="L28" i="62"/>
  <c r="K28" i="62"/>
  <c r="L38" i="62"/>
  <c r="K38" i="62"/>
  <c r="K48" i="62"/>
  <c r="K58" i="62"/>
  <c r="K44" i="60"/>
  <c r="K54" i="59"/>
  <c r="L34" i="59"/>
  <c r="K34" i="59"/>
  <c r="K44" i="59"/>
  <c r="H134" i="59"/>
  <c r="K84" i="59"/>
  <c r="K114" i="59"/>
  <c r="K64" i="59"/>
  <c r="L4" i="59"/>
  <c r="K104" i="59"/>
  <c r="K94" i="59"/>
  <c r="K124" i="59"/>
  <c r="K74" i="59"/>
  <c r="L14" i="59"/>
  <c r="K14" i="59"/>
  <c r="K24" i="59"/>
  <c r="L4" i="60"/>
  <c r="L64" i="60"/>
  <c r="K64" i="60"/>
  <c r="L74" i="60"/>
  <c r="K74" i="60"/>
  <c r="K94" i="60"/>
  <c r="K84" i="60"/>
  <c r="L34" i="60"/>
  <c r="K34" i="60"/>
  <c r="L54" i="60"/>
  <c r="K54" i="60"/>
  <c r="L14" i="60"/>
  <c r="K14" i="60"/>
  <c r="K24" i="60"/>
  <c r="B20" i="13" l="1"/>
  <c r="C20" i="13" s="1"/>
  <c r="C18" i="53" l="1"/>
  <c r="C17" i="53"/>
  <c r="C16" i="53"/>
  <c r="C15" i="53"/>
  <c r="C14" i="53"/>
  <c r="C13" i="53"/>
  <c r="C12" i="53"/>
  <c r="C11" i="53"/>
  <c r="C10" i="53"/>
  <c r="C9" i="53"/>
  <c r="C8" i="53"/>
  <c r="C7" i="53"/>
  <c r="C6" i="53"/>
  <c r="C5" i="53"/>
  <c r="C4" i="53"/>
  <c r="C3" i="53"/>
  <c r="E7" i="53"/>
  <c r="E6" i="53"/>
  <c r="E5" i="53"/>
  <c r="E4" i="53"/>
  <c r="E3" i="53"/>
  <c r="G11" i="53"/>
  <c r="G10" i="53"/>
  <c r="G9" i="53"/>
  <c r="G8" i="53"/>
  <c r="G7" i="53"/>
  <c r="G6" i="53"/>
  <c r="G5" i="53"/>
  <c r="G4" i="53"/>
  <c r="G3" i="53"/>
  <c r="I11" i="53"/>
  <c r="I10" i="53"/>
  <c r="I9" i="53"/>
  <c r="I8" i="53"/>
  <c r="I7" i="53"/>
  <c r="I6" i="53"/>
  <c r="I5" i="53"/>
  <c r="I4" i="53"/>
  <c r="I3" i="53"/>
  <c r="K11" i="53"/>
  <c r="K10" i="53"/>
  <c r="K9" i="53"/>
  <c r="K8" i="53"/>
  <c r="K7" i="53"/>
  <c r="K6" i="53"/>
  <c r="K5" i="53"/>
  <c r="K4" i="53"/>
  <c r="K3" i="53"/>
  <c r="M11" i="53"/>
  <c r="M10" i="53"/>
  <c r="M9" i="53"/>
  <c r="M8" i="53"/>
  <c r="M7" i="53"/>
  <c r="M6" i="53"/>
  <c r="M5" i="53"/>
  <c r="M4" i="53"/>
  <c r="M3" i="53"/>
  <c r="E10" i="4" l="1"/>
  <c r="F10" i="4" s="1"/>
  <c r="E9" i="4"/>
  <c r="F9" i="4" s="1"/>
  <c r="L134" i="59" s="1"/>
  <c r="E8" i="4"/>
  <c r="F8" i="4" s="1"/>
  <c r="E7" i="4"/>
  <c r="F7" i="4" s="1"/>
  <c r="L154" i="63" s="1"/>
  <c r="E32" i="13" s="1"/>
  <c r="F32" i="13" s="1"/>
  <c r="G32" i="13" s="1"/>
  <c r="E6" i="4"/>
  <c r="E5" i="4"/>
  <c r="F5" i="4" s="1"/>
  <c r="C62" i="49"/>
  <c r="B61" i="49"/>
  <c r="B60" i="49"/>
  <c r="C60" i="49" s="1"/>
  <c r="B59" i="49"/>
  <c r="C59" i="49" s="1"/>
  <c r="B58" i="49"/>
  <c r="C57" i="49"/>
  <c r="L184" i="61" l="1"/>
  <c r="L144" i="64"/>
  <c r="E33" i="13" s="1"/>
  <c r="F33" i="13" s="1"/>
  <c r="G33" i="13" s="1"/>
  <c r="F6" i="4"/>
  <c r="L128" i="62" s="1"/>
  <c r="C61" i="49"/>
  <c r="L12" i="53"/>
  <c r="M12" i="53" s="1"/>
  <c r="H12" i="53"/>
  <c r="I12" i="53" s="1"/>
  <c r="F12" i="53"/>
  <c r="G12" i="53" s="1"/>
  <c r="D9" i="53"/>
  <c r="D10" i="53"/>
  <c r="D12" i="53"/>
  <c r="J16" i="53"/>
  <c r="J12" i="53"/>
  <c r="K12" i="53" s="1"/>
  <c r="H14" i="53"/>
  <c r="H16" i="53"/>
  <c r="H13" i="53"/>
  <c r="L17" i="53"/>
  <c r="F16" i="53"/>
  <c r="F15" i="53"/>
  <c r="F14" i="53"/>
  <c r="F13" i="53"/>
  <c r="D15" i="53"/>
  <c r="D14" i="53"/>
  <c r="D13" i="53"/>
  <c r="J15" i="53"/>
  <c r="L16" i="53"/>
  <c r="L15" i="53"/>
  <c r="L14" i="53"/>
  <c r="L13" i="53"/>
  <c r="J14" i="53"/>
  <c r="J13" i="53"/>
  <c r="H15" i="53"/>
  <c r="D11" i="53"/>
  <c r="C58" i="49"/>
  <c r="I13" i="53" l="1"/>
  <c r="I14" i="53"/>
  <c r="I18" i="53"/>
  <c r="I15" i="53"/>
  <c r="I16" i="53"/>
  <c r="I17" i="53"/>
  <c r="G15" i="53"/>
  <c r="G17" i="53"/>
  <c r="G18" i="53"/>
  <c r="G14" i="53"/>
  <c r="G13" i="53"/>
  <c r="G16" i="53"/>
  <c r="M15" i="53"/>
  <c r="M17" i="53"/>
  <c r="M16" i="53"/>
  <c r="M18" i="53"/>
  <c r="M14" i="53"/>
  <c r="M13" i="53"/>
  <c r="K15" i="53"/>
  <c r="K18" i="53"/>
  <c r="K14" i="53"/>
  <c r="K17" i="53"/>
  <c r="K13" i="53"/>
  <c r="K16" i="53"/>
  <c r="D39" i="13" l="1"/>
  <c r="D8" i="53"/>
  <c r="E18" i="53" s="1"/>
  <c r="E16" i="53" l="1"/>
  <c r="E10" i="53"/>
  <c r="E14" i="53"/>
  <c r="E8" i="53"/>
  <c r="E9" i="53"/>
  <c r="E11" i="53"/>
  <c r="E13" i="53"/>
  <c r="E17" i="53"/>
  <c r="D41" i="13"/>
  <c r="E12" i="53"/>
  <c r="E15" i="53"/>
  <c r="D40" i="13"/>
  <c r="B38" i="13"/>
  <c r="D38" i="13"/>
  <c r="C40" i="13" l="1"/>
  <c r="B40" i="13"/>
  <c r="D36" i="13"/>
  <c r="B39" i="13" l="1"/>
  <c r="B41" i="13"/>
  <c r="B36" i="13"/>
  <c r="C38" i="13"/>
  <c r="C39" i="13" l="1"/>
  <c r="C36" i="13"/>
  <c r="C41" i="13"/>
  <c r="D37" i="13" l="1"/>
  <c r="B37" i="13" l="1"/>
  <c r="C37" i="13" l="1"/>
</calcChain>
</file>

<file path=xl/comments1.xml><?xml version="1.0" encoding="utf-8"?>
<comments xmlns="http://schemas.openxmlformats.org/spreadsheetml/2006/main">
  <authors>
    <author>student</author>
  </authors>
  <commentList>
    <comment ref="B105" authorId="0" shapeId="0">
      <text>
        <r>
          <rPr>
            <b/>
            <sz val="9"/>
            <color indexed="81"/>
            <rFont val="Tahoma"/>
            <family val="2"/>
          </rPr>
          <t>Dr. Faten:</t>
        </r>
        <r>
          <rPr>
            <sz val="9"/>
            <color indexed="81"/>
            <rFont val="Tahoma"/>
            <family val="2"/>
          </rPr>
          <t xml:space="preserve">
The highest in the world is Japan 28%, while the lowest is UAE 1% </t>
        </r>
      </text>
    </comment>
  </commentList>
</comments>
</file>

<file path=xl/comments2.xml><?xml version="1.0" encoding="utf-8"?>
<comments xmlns="http://schemas.openxmlformats.org/spreadsheetml/2006/main">
  <authors>
    <author>Dr. Bashar Farran</author>
    <author>student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Dr. Bashar Farran:</t>
        </r>
        <r>
          <rPr>
            <sz val="9"/>
            <color indexed="81"/>
            <rFont val="Tahoma"/>
            <family val="2"/>
          </rPr>
          <t xml:space="preserve">
Reference: 9 in the paper.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Dr. Bashar Farran:</t>
        </r>
        <r>
          <rPr>
            <sz val="9"/>
            <color indexed="81"/>
            <rFont val="Tahoma"/>
            <family val="2"/>
          </rPr>
          <t xml:space="preserve">
Reference: 10-12 in the paper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Dr. Bashar Farran:</t>
        </r>
        <r>
          <rPr>
            <sz val="9"/>
            <color indexed="81"/>
            <rFont val="Tahoma"/>
            <family val="2"/>
          </rPr>
          <t xml:space="preserve">
calculated by multiplying Pop. number by ICU bed/100k capita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Dr. Bashar Farrn
13-16 in the references</t>
        </r>
      </text>
    </comment>
    <comment ref="F5" authorId="1" shapeId="0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considered current utilisation rate 90% because of low bed number per capita</t>
        </r>
      </text>
    </comment>
    <comment ref="F6" authorId="1" shapeId="0">
      <text>
        <r>
          <rPr>
            <sz val="9"/>
            <color indexed="81"/>
            <rFont val="Tahoma"/>
            <family val="2"/>
          </rPr>
          <t>considered current utilisation rate 70% because of high beds number per capita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utilisation rate 80%</t>
        </r>
      </text>
    </comment>
    <comment ref="F8" authorId="1" shapeId="0">
      <text>
        <r>
          <rPr>
            <sz val="9"/>
            <color indexed="81"/>
            <rFont val="Tahoma"/>
            <family val="2"/>
          </rPr>
          <t xml:space="preserve">utilisation rate 80%
</t>
        </r>
      </text>
    </comment>
    <comment ref="F9" authorId="1" shapeId="0">
      <text>
        <r>
          <rPr>
            <sz val="9"/>
            <color indexed="81"/>
            <rFont val="Tahoma"/>
            <family val="2"/>
          </rPr>
          <t>utilisation rate 80%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utilisation rate in USA is considered 70% and so 30% are avialable</t>
        </r>
      </text>
    </comment>
  </commentList>
</comments>
</file>

<file path=xl/comments3.xml><?xml version="1.0" encoding="utf-8"?>
<comments xmlns="http://schemas.openxmlformats.org/spreadsheetml/2006/main">
  <authors>
    <author>Dr. Bashar Farran</author>
  </authors>
  <commentList>
    <comment ref="A1" authorId="0" shapeId="0">
      <text>
        <r>
          <rPr>
            <b/>
            <sz val="14"/>
            <color indexed="81"/>
            <rFont val="Tahoma"/>
            <family val="2"/>
          </rPr>
          <t xml:space="preserve">Dr. Bashar Farran:
</t>
        </r>
        <r>
          <rPr>
            <sz val="14"/>
            <color indexed="81"/>
            <rFont val="Tahoma"/>
            <family val="2"/>
          </rPr>
          <t xml:space="preserve">
Reference 19</t>
        </r>
      </text>
    </comment>
  </commentList>
</comments>
</file>

<file path=xl/comments4.xml><?xml version="1.0" encoding="utf-8"?>
<comments xmlns="http://schemas.openxmlformats.org/spreadsheetml/2006/main">
  <authors>
    <author>Dr. Bashar Farran</author>
  </authors>
  <commentList>
    <comment ref="A1" authorId="0" shapeId="0">
      <text>
        <r>
          <rPr>
            <b/>
            <sz val="14"/>
            <color indexed="81"/>
            <rFont val="Tahoma"/>
            <family val="2"/>
          </rPr>
          <t>Dr. Bashar Farran:</t>
        </r>
        <r>
          <rPr>
            <sz val="14"/>
            <color indexed="81"/>
            <rFont val="Tahoma"/>
            <family val="2"/>
          </rPr>
          <t xml:space="preserve">
Reference 19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Dr. Bashar Farran</author>
  </authors>
  <commentList>
    <comment ref="A5" authorId="0" shapeId="0">
      <text>
        <r>
          <rPr>
            <b/>
            <sz val="14"/>
            <color indexed="81"/>
            <rFont val="Tahoma"/>
            <family val="2"/>
          </rPr>
          <t>Dr. Bashar Farran:</t>
        </r>
        <r>
          <rPr>
            <sz val="14"/>
            <color indexed="81"/>
            <rFont val="Tahoma"/>
            <family val="2"/>
          </rPr>
          <t xml:space="preserve">
Reference 19</t>
        </r>
      </text>
    </comment>
  </commentList>
</comments>
</file>

<file path=xl/comments6.xml><?xml version="1.0" encoding="utf-8"?>
<comments xmlns="http://schemas.openxmlformats.org/spreadsheetml/2006/main">
  <authors>
    <author>Dr. Bashar Farran</author>
  </authors>
  <commentList>
    <comment ref="A1" authorId="0" shapeId="0">
      <text>
        <r>
          <rPr>
            <b/>
            <sz val="14"/>
            <color indexed="81"/>
            <rFont val="Times New Roman"/>
            <family val="1"/>
          </rPr>
          <t>Dr. Bashar Farran:</t>
        </r>
        <r>
          <rPr>
            <sz val="14"/>
            <color indexed="81"/>
            <rFont val="Times New Roman"/>
            <family val="1"/>
          </rPr>
          <t xml:space="preserve">
Reference 19</t>
        </r>
      </text>
    </comment>
  </commentList>
</comments>
</file>

<file path=xl/comments7.xml><?xml version="1.0" encoding="utf-8"?>
<comments xmlns="http://schemas.openxmlformats.org/spreadsheetml/2006/main">
  <authors>
    <author>Dr. Bashar Farran</author>
    <author>student</author>
  </authors>
  <commentList>
    <comment ref="A1" authorId="0" shapeId="0">
      <text>
        <r>
          <rPr>
            <b/>
            <sz val="14"/>
            <color indexed="81"/>
            <rFont val="Tahoma"/>
            <family val="2"/>
          </rPr>
          <t>Dr. Bashar Farran:</t>
        </r>
        <r>
          <rPr>
            <sz val="14"/>
            <color indexed="81"/>
            <rFont val="Tahoma"/>
            <family val="2"/>
          </rPr>
          <t xml:space="preserve">
Reference 19</t>
        </r>
      </text>
    </comment>
    <comment ref="A49" authorId="1" shapeId="0">
      <text>
        <r>
          <rPr>
            <b/>
            <sz val="24"/>
            <color indexed="81"/>
            <rFont val="Times New Roman"/>
            <family val="1"/>
          </rPr>
          <t xml:space="preserve">
student:
will start to drop down earlier than 24th because recovery symptoms has started to appear ealier, it seems there were social distancing efforts before the official lock-down announcement</t>
        </r>
      </text>
    </comment>
  </commentList>
</comments>
</file>

<file path=xl/comments8.xml><?xml version="1.0" encoding="utf-8"?>
<comments xmlns="http://schemas.openxmlformats.org/spreadsheetml/2006/main">
  <authors>
    <author>Dr. Bashar Farran</author>
  </authors>
  <commentList>
    <comment ref="A1" authorId="0" shapeId="0">
      <text>
        <r>
          <rPr>
            <b/>
            <sz val="14"/>
            <color indexed="81"/>
            <rFont val="Times New Roman"/>
            <family val="1"/>
          </rPr>
          <t>Dr. Bashar Farran:</t>
        </r>
        <r>
          <rPr>
            <sz val="14"/>
            <color indexed="81"/>
            <rFont val="Times New Roman"/>
            <family val="1"/>
          </rPr>
          <t xml:space="preserve">
Reference 19</t>
        </r>
      </text>
    </comment>
  </commentList>
</comments>
</file>

<file path=xl/comments9.xml><?xml version="1.0" encoding="utf-8"?>
<comments xmlns="http://schemas.openxmlformats.org/spreadsheetml/2006/main">
  <authors>
    <author>Dr. Bashar Farran</author>
  </authors>
  <commentList>
    <comment ref="A4" authorId="0" shapeId="0">
      <text>
        <r>
          <rPr>
            <b/>
            <sz val="14"/>
            <color indexed="81"/>
            <rFont val="Times New Roman"/>
            <family val="1"/>
          </rPr>
          <t>Dr. Bashar Farran:</t>
        </r>
        <r>
          <rPr>
            <sz val="14"/>
            <color indexed="81"/>
            <rFont val="Times New Roman"/>
            <family val="1"/>
          </rPr>
          <t xml:space="preserve">
the last historical TFR  before breakpoint. Reference 19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Dr. Bashar Farran:</t>
        </r>
        <r>
          <rPr>
            <sz val="9"/>
            <color indexed="81"/>
            <rFont val="Tahoma"/>
            <family val="2"/>
          </rPr>
          <t xml:space="preserve">
Reference 19</t>
        </r>
      </text>
    </comment>
  </commentList>
</comments>
</file>

<file path=xl/sharedStrings.xml><?xml version="1.0" encoding="utf-8"?>
<sst xmlns="http://schemas.openxmlformats.org/spreadsheetml/2006/main" count="396" uniqueCount="178">
  <si>
    <t>Italy</t>
  </si>
  <si>
    <t>Germany</t>
  </si>
  <si>
    <t>China</t>
  </si>
  <si>
    <t>Spain</t>
  </si>
  <si>
    <t>France</t>
  </si>
  <si>
    <t>Country</t>
  </si>
  <si>
    <t>Intermediate</t>
  </si>
  <si>
    <t>High</t>
  </si>
  <si>
    <t>Low</t>
  </si>
  <si>
    <t>Number of population</t>
  </si>
  <si>
    <t>Total estimated number of ICU beds</t>
  </si>
  <si>
    <t>Extemely Low</t>
  </si>
  <si>
    <t>Extremely High</t>
  </si>
  <si>
    <t>TFR (1-10)</t>
  </si>
  <si>
    <t>TFR &gt;10</t>
  </si>
  <si>
    <t>Elderly %-risk assessment</t>
  </si>
  <si>
    <t>Elderly % in population-risk assessment</t>
  </si>
  <si>
    <t>TFR&lt;1</t>
  </si>
  <si>
    <t>Dates</t>
  </si>
  <si>
    <t>Est. Total deaths due to lack of ICU beds</t>
  </si>
  <si>
    <t>No.</t>
  </si>
  <si>
    <t>USA</t>
  </si>
  <si>
    <t>Total population</t>
  </si>
  <si>
    <t>Lock-down announcement date</t>
  </si>
  <si>
    <t>Est. total cases</t>
  </si>
  <si>
    <t>Countries</t>
  </si>
  <si>
    <t>First Interval</t>
  </si>
  <si>
    <t xml:space="preserve"> Key for (lock-down timing)-risk assessment</t>
  </si>
  <si>
    <t>Approximate number of cases at lock-down</t>
  </si>
  <si>
    <t>Lock-down timing-risk assessment</t>
  </si>
  <si>
    <t>Population density</t>
  </si>
  <si>
    <t>Population density risk assessment</t>
  </si>
  <si>
    <t>201/km²</t>
  </si>
  <si>
    <t>35/km²</t>
  </si>
  <si>
    <t>118/km²</t>
  </si>
  <si>
    <t>239/mi²</t>
  </si>
  <si>
    <t>384/mi²</t>
  </si>
  <si>
    <t>The new observed cases in 10 days interval</t>
  </si>
  <si>
    <t xml:space="preserve">Simulated Average new new cases per day </t>
  </si>
  <si>
    <t>Observed new cases per day</t>
  </si>
  <si>
    <t>Observed total cases</t>
  </si>
  <si>
    <t xml:space="preserve"> Simulated new cases in 10 days interval</t>
  </si>
  <si>
    <t>Est. ICU Beds needed every 10 days</t>
  </si>
  <si>
    <t>Observed Deaths per 10 days</t>
  </si>
  <si>
    <t>Table10 Appendix: Key for TFR assessment</t>
  </si>
  <si>
    <t>Total cases forecasted cases till Plateau</t>
  </si>
  <si>
    <t xml:space="preserve">Estimated free beds </t>
  </si>
  <si>
    <t>Not known</t>
  </si>
  <si>
    <t xml:space="preserve"> ICU beds/ 100K capita-risk assessment</t>
  </si>
  <si>
    <t>ventilator/100K capita-risk assessment</t>
  </si>
  <si>
    <t xml:space="preserve"> Observed, then Simulated new cases in 10 days interval</t>
  </si>
  <si>
    <t xml:space="preserve"> Key for ICU beds/100K capita -risk assessment</t>
  </si>
  <si>
    <t xml:space="preserve"> Ventilators number/ 100K capita-risk assessment</t>
  </si>
  <si>
    <t>Pop.density &lt;100/ km2</t>
  </si>
  <si>
    <t>Pop.density (100-500/ Km2)</t>
  </si>
  <si>
    <t>Pop.density (500-999/ Km2)</t>
  </si>
  <si>
    <t>Pop.density (1000-4999/ Km2)</t>
  </si>
  <si>
    <t>Pop.density&gt; 5000/ Km2</t>
  </si>
  <si>
    <t>31-40 /100K capita</t>
  </si>
  <si>
    <t>21-30 /100K capita</t>
  </si>
  <si>
    <t>10-20 /100Kcapita</t>
  </si>
  <si>
    <t>40 ventilator /100K capita</t>
  </si>
  <si>
    <t>&lt;10 /100K capita OR Unknown</t>
  </si>
  <si>
    <t>0-7 beds /100K capita</t>
  </si>
  <si>
    <t>7.1-14  beds /100K capita</t>
  </si>
  <si>
    <t>14.1-21 beds /100K capita</t>
  </si>
  <si>
    <t>21.1-28  beds /100K capita</t>
  </si>
  <si>
    <t>28.1-35 beds /100K capita</t>
  </si>
  <si>
    <t>Number of ventilators /100,K capita</t>
  </si>
  <si>
    <t>Approximate Case / 100K capita at lock-down</t>
  </si>
  <si>
    <t>Number of ICU beds /100K capita</t>
  </si>
  <si>
    <t>Observed Recoveries per 10 days</t>
  </si>
  <si>
    <t>Unpublished</t>
  </si>
  <si>
    <t>Number of tests performed per confirmed cases</t>
  </si>
  <si>
    <t>Cases /100K capita &lt;1</t>
  </si>
  <si>
    <t>Cases /100K capita (1-5)</t>
  </si>
  <si>
    <t>Cases /100K capita (5.1-10)</t>
  </si>
  <si>
    <t>Cases /100K capita (10.1-15)</t>
  </si>
  <si>
    <t>Cases /100K capita &gt;15</t>
  </si>
  <si>
    <t> 608/mi²</t>
  </si>
  <si>
    <t xml:space="preserve">Population (&lt;3M) </t>
  </si>
  <si>
    <t xml:space="preserve">Population (3M-100M) </t>
  </si>
  <si>
    <t xml:space="preserve">Population (100 M-499M) </t>
  </si>
  <si>
    <t xml:space="preserve">Population (500 M-1 Billion) </t>
  </si>
  <si>
    <t xml:space="preserve">Population (&gt;1 Billion) </t>
  </si>
  <si>
    <t>Est. Total deaths due to TFR without break point</t>
  </si>
  <si>
    <t>Total deaths</t>
  </si>
  <si>
    <t>Date</t>
  </si>
  <si>
    <t>3 Apr. 2020</t>
  </si>
  <si>
    <t>25 Mar.2020</t>
  </si>
  <si>
    <t>15 Mar.2020</t>
  </si>
  <si>
    <t>Total Cases</t>
  </si>
  <si>
    <t>New cases</t>
  </si>
  <si>
    <t>Number of tests per million capita in April 3,2020</t>
  </si>
  <si>
    <t>Unknown</t>
  </si>
  <si>
    <t>total tests per million capita &lt; 2000</t>
  </si>
  <si>
    <t>total tests per million capita 2001-4000</t>
  </si>
  <si>
    <t>total tests per million capita 4001-6000</t>
  </si>
  <si>
    <t>total tests per million capita 6001-8000</t>
  </si>
  <si>
    <t>tests/million cases &gt; 8001</t>
  </si>
  <si>
    <t>if Ventilators/ ICU deficiency is still risk</t>
  </si>
  <si>
    <t>no</t>
  </si>
  <si>
    <t>yes</t>
  </si>
  <si>
    <t>if Ventilators/ ICU deficiency is still risk at pandemic threshold</t>
  </si>
  <si>
    <t>3 update</t>
  </si>
  <si>
    <t>If Deficit in ICU and Ventilators was solved</t>
  </si>
  <si>
    <t>Partial</t>
  </si>
  <si>
    <t xml:space="preserve"> 1st stage :Pre-Pandemic evaluation.</t>
  </si>
  <si>
    <t>2nd stage: Pandemic Threshold evaluation</t>
  </si>
  <si>
    <t>3rd stage: Post threshold evaluation</t>
  </si>
  <si>
    <t>factor 1</t>
  </si>
  <si>
    <t>factor 2</t>
  </si>
  <si>
    <t>factor 3</t>
  </si>
  <si>
    <t>factor 4</t>
  </si>
  <si>
    <t>factor 5</t>
  </si>
  <si>
    <t xml:space="preserve"> factor 6</t>
  </si>
  <si>
    <t>factor 7</t>
  </si>
  <si>
    <t>factor 3,4 update</t>
  </si>
  <si>
    <t xml:space="preserve"> factor 3,4 update</t>
  </si>
  <si>
    <t>finished</t>
  </si>
  <si>
    <t>Pre-Pandemic (100)</t>
  </si>
  <si>
    <t>Pre- Pandemic (25)</t>
  </si>
  <si>
    <t xml:space="preserve">Pandemic Threshold (100) </t>
  </si>
  <si>
    <t>Post-threshold April 3 (100)</t>
  </si>
  <si>
    <t>Factor  no.</t>
  </si>
  <si>
    <t>Table 1 appendix: Total Risk Assessment Keys For 7 Risk indicators and their update</t>
  </si>
  <si>
    <t>Total available ventilators</t>
  </si>
  <si>
    <t xml:space="preserve">Table 2: Calculation of ICU bed capacity per country </t>
  </si>
  <si>
    <t>Table 3 China: Observed cases, IPR change analysis before and after intervention (lock-down), to be used as a benchmark for other countries</t>
  </si>
  <si>
    <t>How many average patients was infected by one source patient (IPR) in 10 days interval</t>
  </si>
  <si>
    <t>Table 4 Italy: Observed and forecasted /simulated cases through IPR evaluation and benchmarking with China's IPR change</t>
  </si>
  <si>
    <t>Table 5 Germany: Observed and forecasted /simulated cases through IPR evaluation and benchmarking with China's IPR change</t>
  </si>
  <si>
    <t>Table 6 Spain: Observed and forecasted /simulated cases through IPR evaluation and benchmarking with China's IPR change</t>
  </si>
  <si>
    <t>Table 7 France: Observed and forecasted /simulated cases through IPR evaluation and benchmarking with China's IPR change</t>
  </si>
  <si>
    <t>Table 8 USA: Observed and forecasted /simulated cases through IPR evaluation and benchmarking with China's IPR change</t>
  </si>
  <si>
    <t>5 Mar.2020</t>
  </si>
  <si>
    <t>Table 1.1: indicators Risk Assessment evaluation (TRA) - COVID-19</t>
  </si>
  <si>
    <t>For unknown or unpublished indictor's information, risk was evaluated as 5 with the highest risk</t>
  </si>
  <si>
    <t>Days from intervention untill effect</t>
  </si>
  <si>
    <t>Days from intervention until effect</t>
  </si>
  <si>
    <t>Total deaths due to the 2 reasons (according to the current data)</t>
  </si>
  <si>
    <t>Total deaths (according to TRA, IPR models)</t>
  </si>
  <si>
    <t xml:space="preserve"> Est. Infected /100K capita at plateau </t>
  </si>
  <si>
    <t>H.TFR</t>
  </si>
  <si>
    <t xml:space="preserve"> Death's rate in closed cases</t>
  </si>
  <si>
    <t>Recovery rate in closed cases</t>
  </si>
  <si>
    <t>Appendix 1: Analysis of TRA for all countries through all stages in confronting COVID-19</t>
  </si>
  <si>
    <t>Appendix 2: Analysis of ICU beds and Ventilators</t>
  </si>
  <si>
    <t xml:space="preserve">Appendix 3: USA Analysis </t>
  </si>
  <si>
    <t xml:space="preserve">Appendix 3: France Analysis </t>
  </si>
  <si>
    <t xml:space="preserve">Appendix 3: Spain Analysis </t>
  </si>
  <si>
    <t xml:space="preserve">Appendix 3: Germany Analysis </t>
  </si>
  <si>
    <t xml:space="preserve">Appendix 3: Italy Analysis </t>
  </si>
  <si>
    <t xml:space="preserve">Appendix 3: China Analysis </t>
  </si>
  <si>
    <t>Highly solved</t>
  </si>
  <si>
    <t>Fully solved</t>
  </si>
  <si>
    <t xml:space="preserve">Not Solved at all </t>
  </si>
  <si>
    <t>Moderately solved</t>
  </si>
  <si>
    <t>Slightly solved</t>
  </si>
  <si>
    <t>Above 65 years (6%-10%)</t>
  </si>
  <si>
    <t>Above 65 years (11%-15%)</t>
  </si>
  <si>
    <t>Above 65 years (16-20%)</t>
  </si>
  <si>
    <t>Above 65 years  &gt;20%</t>
  </si>
  <si>
    <t>Elderly % (above 65)</t>
  </si>
  <si>
    <t>Table 1.2.TRA scores calculations at 3 stages (out of 100%)</t>
  </si>
  <si>
    <t>Pandemic Threshold (35)</t>
  </si>
  <si>
    <t>Post-threshold /April 3 (40)</t>
  </si>
  <si>
    <t>Observed, then simulated Average new cases / day in 10 days interval</t>
  </si>
  <si>
    <t>Num. of ICU beds / 100K capita</t>
  </si>
  <si>
    <r>
      <t xml:space="preserve"> </t>
    </r>
    <r>
      <rPr>
        <b/>
        <sz val="12"/>
        <color rgb="FFAA70B0"/>
        <rFont val="Times New Roman"/>
        <family val="1"/>
      </rPr>
      <t xml:space="preserve">Est. TFR 1 </t>
    </r>
    <r>
      <rPr>
        <b/>
        <sz val="12"/>
        <color theme="1"/>
        <rFont val="Times New Roman"/>
        <family val="1"/>
      </rPr>
      <t>at Plateau</t>
    </r>
  </si>
  <si>
    <r>
      <t xml:space="preserve"> </t>
    </r>
    <r>
      <rPr>
        <b/>
        <sz val="12"/>
        <color rgb="FFAA70B0"/>
        <rFont val="Times New Roman"/>
        <family val="1"/>
      </rPr>
      <t>Est. TFR 2</t>
    </r>
    <r>
      <rPr>
        <b/>
        <sz val="12"/>
        <color theme="1"/>
        <rFont val="Times New Roman"/>
        <family val="1"/>
      </rPr>
      <t xml:space="preserve"> at Plateau</t>
    </r>
  </si>
  <si>
    <t>Total population risk assessment</t>
  </si>
  <si>
    <t xml:space="preserve">Total Population  </t>
  </si>
  <si>
    <t>Appendix 4: TFR Analysis for All countires (TFR1, TFR2)</t>
  </si>
  <si>
    <t>Table 9.1: Historical TFR  at last interval before the break point (H.TFR)</t>
  </si>
  <si>
    <t>Table 9.2:  Deaths' rate VS. Recoveries' Rate in closed cases till April 4, 2020</t>
  </si>
  <si>
    <r>
      <t xml:space="preserve"> Table 9.3 : </t>
    </r>
    <r>
      <rPr>
        <b/>
        <sz val="12"/>
        <color rgb="FFAA70B0"/>
        <rFont val="Times New Roman"/>
        <family val="1"/>
      </rPr>
      <t xml:space="preserve">Est.TFR1 </t>
    </r>
    <r>
      <rPr>
        <b/>
        <sz val="12"/>
        <color theme="1"/>
        <rFont val="Times New Roman"/>
        <family val="1"/>
      </rPr>
      <t xml:space="preserve">(Estimated Deaths till plateau according to the Historical Total Fatal Ratio (H.TFR) and the ICU bed capacity deficit),  </t>
    </r>
    <r>
      <rPr>
        <b/>
        <sz val="12"/>
        <color rgb="FFAA70B0"/>
        <rFont val="Times New Roman"/>
        <family val="1"/>
      </rPr>
      <t>Est.TFR2</t>
    </r>
    <r>
      <rPr>
        <b/>
        <sz val="12"/>
        <color theme="1"/>
        <rFont val="Times New Roman"/>
        <family val="1"/>
      </rPr>
      <t xml:space="preserve"> (Estimated Deaths till plateau according to the historical deaths' rate in the closed cases and the performed tests number evaluation)</t>
    </r>
  </si>
  <si>
    <t>Above 65 years (1%-5%)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</si>
</sst>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"/>
    <numFmt numFmtId="166" formatCode="#,##0.0"/>
    <numFmt numFmtId="167" formatCode="0.0%"/>
    <numFmt numFmtId="168" formatCode="[$-409]d\-mmm;@"/>
    <numFmt numFmtId="169" formatCode="mm/dd/yy;@"/>
  </numFmts>
  <fonts count="5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4"/>
      <color indexed="81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imes New Roman"/>
      <family val="1"/>
    </font>
    <font>
      <sz val="14"/>
      <color indexed="81"/>
      <name val="Times New Roman"/>
      <family val="1"/>
    </font>
    <font>
      <sz val="8"/>
      <name val="Calibri"/>
      <family val="2"/>
      <scheme val="minor"/>
    </font>
    <font>
      <b/>
      <sz val="14"/>
      <color theme="0"/>
      <name val="Times New Roman"/>
      <family val="1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C00000"/>
      <name val="Times New Roman"/>
      <family val="1"/>
    </font>
    <font>
      <b/>
      <sz val="12"/>
      <color rgb="FFAA70B0"/>
      <name val="Times New Roman"/>
      <family val="1"/>
    </font>
    <font>
      <b/>
      <sz val="12"/>
      <color theme="4" tint="-0.249977111117893"/>
      <name val="Times New Roman"/>
      <family val="1"/>
    </font>
    <font>
      <sz val="12"/>
      <color rgb="FF00B050"/>
      <name val="Times New Roman"/>
      <family val="1"/>
    </font>
    <font>
      <sz val="12"/>
      <color theme="7" tint="-0.499984740745262"/>
      <name val="Times New Roman"/>
      <family val="1"/>
    </font>
    <font>
      <b/>
      <sz val="12"/>
      <color rgb="FF00B050"/>
      <name val="Times New Roman"/>
      <family val="1"/>
    </font>
    <font>
      <sz val="12"/>
      <color theme="4" tint="-0.249977111117893"/>
      <name val="Times New Roman"/>
      <family val="1"/>
    </font>
    <font>
      <b/>
      <sz val="12"/>
      <color rgb="FFFF000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Times New Roman"/>
      <family val="1"/>
    </font>
    <font>
      <sz val="9"/>
      <color theme="0"/>
      <name val="Calibri"/>
      <family val="2"/>
    </font>
    <font>
      <sz val="11"/>
      <color theme="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AA70B0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AA70B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0.79998168889431442"/>
        <bgColor rgb="FF000000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6" fillId="0" borderId="0" xfId="0" applyFont="1" applyFill="1" applyBorder="1"/>
    <xf numFmtId="0" fontId="9" fillId="0" borderId="0" xfId="0" applyFont="1" applyFill="1" applyBorder="1"/>
    <xf numFmtId="3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/>
    </xf>
    <xf numFmtId="0" fontId="4" fillId="22" borderId="6" xfId="0" applyFont="1" applyFill="1" applyBorder="1" applyAlignment="1">
      <alignment horizontal="left"/>
    </xf>
    <xf numFmtId="3" fontId="4" fillId="22" borderId="6" xfId="0" applyNumberFormat="1" applyFont="1" applyFill="1" applyBorder="1" applyAlignment="1">
      <alignment horizontal="left"/>
    </xf>
    <xf numFmtId="3" fontId="7" fillId="17" borderId="6" xfId="0" applyNumberFormat="1" applyFont="1" applyFill="1" applyBorder="1" applyAlignment="1">
      <alignment horizontal="left" vertical="center" wrapText="1"/>
    </xf>
    <xf numFmtId="3" fontId="8" fillId="17" borderId="6" xfId="0" applyNumberFormat="1" applyFont="1" applyFill="1" applyBorder="1" applyAlignment="1">
      <alignment horizontal="left" vertical="center" wrapText="1"/>
    </xf>
    <xf numFmtId="3" fontId="7" fillId="22" borderId="6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168" fontId="7" fillId="23" borderId="6" xfId="0" applyNumberFormat="1" applyFont="1" applyFill="1" applyBorder="1" applyAlignment="1">
      <alignment horizontal="left" vertical="center" wrapText="1"/>
    </xf>
    <xf numFmtId="0" fontId="7" fillId="23" borderId="6" xfId="0" applyFont="1" applyFill="1" applyBorder="1" applyAlignment="1">
      <alignment horizontal="center" vertical="center" wrapText="1"/>
    </xf>
    <xf numFmtId="3" fontId="7" fillId="23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/>
    <xf numFmtId="9" fontId="11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11" fillId="3" borderId="0" xfId="0" applyFont="1" applyFill="1" applyBorder="1" applyAlignment="1">
      <alignment horizontal="center"/>
    </xf>
    <xf numFmtId="164" fontId="11" fillId="3" borderId="0" xfId="0" applyNumberFormat="1" applyFont="1" applyFill="1" applyBorder="1" applyAlignment="1">
      <alignment horizontal="center"/>
    </xf>
    <xf numFmtId="0" fontId="10" fillId="3" borderId="0" xfId="0" applyFont="1" applyFill="1" applyBorder="1"/>
    <xf numFmtId="0" fontId="9" fillId="3" borderId="0" xfId="0" applyFont="1" applyFill="1" applyBorder="1"/>
    <xf numFmtId="0" fontId="6" fillId="3" borderId="0" xfId="0" applyFont="1" applyFill="1" applyBorder="1"/>
    <xf numFmtId="0" fontId="0" fillId="3" borderId="0" xfId="0" applyFill="1" applyBorder="1"/>
    <xf numFmtId="0" fontId="15" fillId="0" borderId="0" xfId="0" applyFo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9" fontId="14" fillId="9" borderId="35" xfId="0" applyNumberFormat="1" applyFont="1" applyFill="1" applyBorder="1" applyAlignment="1">
      <alignment horizontal="center" vertical="center" wrapText="1"/>
    </xf>
    <xf numFmtId="0" fontId="15" fillId="0" borderId="26" xfId="0" applyFont="1" applyBorder="1" applyAlignment="1"/>
    <xf numFmtId="3" fontId="15" fillId="0" borderId="4" xfId="0" applyNumberFormat="1" applyFon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21" xfId="0" applyFont="1" applyBorder="1" applyAlignment="1"/>
    <xf numFmtId="3" fontId="15" fillId="0" borderId="6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3" fontId="15" fillId="0" borderId="68" xfId="0" applyNumberFormat="1" applyFont="1" applyBorder="1" applyAlignment="1">
      <alignment horizontal="center"/>
    </xf>
    <xf numFmtId="0" fontId="15" fillId="0" borderId="23" xfId="0" applyFont="1" applyBorder="1" applyAlignment="1"/>
    <xf numFmtId="3" fontId="15" fillId="0" borderId="24" xfId="0" applyNumberFormat="1" applyFont="1" applyBorder="1" applyAlignment="1">
      <alignment horizontal="center"/>
    </xf>
    <xf numFmtId="3" fontId="15" fillId="0" borderId="51" xfId="0" applyNumberFormat="1" applyFont="1" applyBorder="1" applyAlignment="1">
      <alignment horizontal="center"/>
    </xf>
    <xf numFmtId="3" fontId="15" fillId="0" borderId="65" xfId="0" applyNumberFormat="1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8" fillId="0" borderId="0" xfId="0" applyFont="1"/>
    <xf numFmtId="0" fontId="19" fillId="5" borderId="0" xfId="0" applyFont="1" applyFill="1" applyBorder="1" applyAlignment="1">
      <alignment horizontal="center"/>
    </xf>
    <xf numFmtId="0" fontId="19" fillId="0" borderId="45" xfId="0" applyFont="1" applyFill="1" applyBorder="1" applyAlignment="1">
      <alignment horizontal="center"/>
    </xf>
    <xf numFmtId="16" fontId="19" fillId="5" borderId="52" xfId="0" applyNumberFormat="1" applyFont="1" applyFill="1" applyBorder="1" applyAlignment="1">
      <alignment horizontal="center" vertical="center"/>
    </xf>
    <xf numFmtId="3" fontId="19" fillId="5" borderId="48" xfId="0" applyNumberFormat="1" applyFont="1" applyFill="1" applyBorder="1" applyAlignment="1">
      <alignment horizontal="center"/>
    </xf>
    <xf numFmtId="3" fontId="19" fillId="5" borderId="20" xfId="0" applyNumberFormat="1" applyFont="1" applyFill="1" applyBorder="1" applyAlignment="1">
      <alignment horizontal="center"/>
    </xf>
    <xf numFmtId="3" fontId="17" fillId="5" borderId="6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/>
    </xf>
    <xf numFmtId="16" fontId="19" fillId="5" borderId="34" xfId="0" applyNumberFormat="1" applyFont="1" applyFill="1" applyBorder="1" applyAlignment="1">
      <alignment horizontal="center" vertical="center"/>
    </xf>
    <xf numFmtId="3" fontId="19" fillId="5" borderId="5" xfId="0" applyNumberFormat="1" applyFont="1" applyFill="1" applyBorder="1" applyAlignment="1">
      <alignment horizontal="center"/>
    </xf>
    <xf numFmtId="3" fontId="19" fillId="5" borderId="22" xfId="0" applyNumberFormat="1" applyFont="1" applyFill="1" applyBorder="1" applyAlignment="1">
      <alignment horizontal="center"/>
    </xf>
    <xf numFmtId="3" fontId="19" fillId="5" borderId="6" xfId="0" applyNumberFormat="1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16" fontId="19" fillId="5" borderId="59" xfId="0" applyNumberFormat="1" applyFont="1" applyFill="1" applyBorder="1" applyAlignment="1">
      <alignment horizontal="center" vertical="center"/>
    </xf>
    <xf numFmtId="3" fontId="19" fillId="5" borderId="60" xfId="0" applyNumberFormat="1" applyFont="1" applyFill="1" applyBorder="1" applyAlignment="1">
      <alignment horizontal="center"/>
    </xf>
    <xf numFmtId="3" fontId="19" fillId="5" borderId="25" xfId="0" applyNumberFormat="1" applyFont="1" applyFill="1" applyBorder="1" applyAlignment="1">
      <alignment horizontal="center"/>
    </xf>
    <xf numFmtId="16" fontId="19" fillId="5" borderId="39" xfId="0" applyNumberFormat="1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/>
    </xf>
    <xf numFmtId="16" fontId="19" fillId="13" borderId="40" xfId="0" applyNumberFormat="1" applyFont="1" applyFill="1" applyBorder="1" applyAlignment="1">
      <alignment horizontal="center" vertical="center"/>
    </xf>
    <xf numFmtId="3" fontId="19" fillId="5" borderId="49" xfId="0" applyNumberFormat="1" applyFont="1" applyFill="1" applyBorder="1" applyAlignment="1">
      <alignment horizontal="center"/>
    </xf>
    <xf numFmtId="0" fontId="19" fillId="0" borderId="57" xfId="0" applyFont="1" applyFill="1" applyBorder="1" applyAlignment="1">
      <alignment horizontal="center"/>
    </xf>
    <xf numFmtId="16" fontId="19" fillId="13" borderId="62" xfId="0" applyNumberFormat="1" applyFont="1" applyFill="1" applyBorder="1" applyAlignment="1">
      <alignment horizontal="center" vertical="center"/>
    </xf>
    <xf numFmtId="3" fontId="19" fillId="5" borderId="8" xfId="0" applyNumberFormat="1" applyFont="1" applyFill="1" applyBorder="1" applyAlignment="1">
      <alignment horizontal="center"/>
    </xf>
    <xf numFmtId="16" fontId="19" fillId="13" borderId="64" xfId="0" applyNumberFormat="1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/>
    </xf>
    <xf numFmtId="3" fontId="19" fillId="5" borderId="29" xfId="0" applyNumberFormat="1" applyFont="1" applyFill="1" applyBorder="1" applyAlignment="1">
      <alignment horizontal="center"/>
    </xf>
    <xf numFmtId="3" fontId="19" fillId="5" borderId="7" xfId="0" applyNumberFormat="1" applyFont="1" applyFill="1" applyBorder="1" applyAlignment="1">
      <alignment horizontal="center"/>
    </xf>
    <xf numFmtId="3" fontId="19" fillId="5" borderId="51" xfId="0" applyNumberFormat="1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45" xfId="0" applyFont="1" applyFill="1" applyBorder="1" applyAlignment="1">
      <alignment horizontal="center"/>
    </xf>
    <xf numFmtId="0" fontId="19" fillId="0" borderId="47" xfId="0" applyFont="1" applyFill="1" applyBorder="1" applyAlignment="1">
      <alignment horizontal="center"/>
    </xf>
    <xf numFmtId="16" fontId="19" fillId="13" borderId="34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9" fontId="19" fillId="0" borderId="0" xfId="0" applyNumberFormat="1" applyFont="1" applyFill="1" applyBorder="1" applyAlignment="1">
      <alignment horizontal="center"/>
    </xf>
    <xf numFmtId="0" fontId="21" fillId="29" borderId="26" xfId="0" applyFont="1" applyFill="1" applyBorder="1" applyAlignment="1">
      <alignment vertical="center"/>
    </xf>
    <xf numFmtId="0" fontId="21" fillId="29" borderId="4" xfId="0" applyFont="1" applyFill="1" applyBorder="1" applyAlignment="1">
      <alignment horizontal="center" vertical="center"/>
    </xf>
    <xf numFmtId="0" fontId="21" fillId="29" borderId="27" xfId="0" applyFont="1" applyFill="1" applyBorder="1" applyAlignment="1">
      <alignment horizontal="center" vertical="center"/>
    </xf>
    <xf numFmtId="0" fontId="21" fillId="18" borderId="21" xfId="0" applyFont="1" applyFill="1" applyBorder="1" applyAlignment="1">
      <alignment horizontal="center" vertical="center" wrapText="1"/>
    </xf>
    <xf numFmtId="9" fontId="21" fillId="18" borderId="6" xfId="0" applyNumberFormat="1" applyFont="1" applyFill="1" applyBorder="1" applyAlignment="1">
      <alignment horizontal="center" vertical="center" wrapText="1"/>
    </xf>
    <xf numFmtId="0" fontId="21" fillId="18" borderId="6" xfId="0" applyFont="1" applyFill="1" applyBorder="1" applyAlignment="1">
      <alignment horizontal="center" vertical="center" wrapText="1"/>
    </xf>
    <xf numFmtId="164" fontId="21" fillId="18" borderId="6" xfId="0" applyNumberFormat="1" applyFont="1" applyFill="1" applyBorder="1" applyAlignment="1">
      <alignment horizontal="center" vertical="center" wrapText="1"/>
    </xf>
    <xf numFmtId="0" fontId="21" fillId="18" borderId="22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/>
    </xf>
    <xf numFmtId="9" fontId="22" fillId="0" borderId="6" xfId="0" applyNumberFormat="1" applyFont="1" applyFill="1" applyBorder="1" applyAlignment="1">
      <alignment horizontal="center"/>
    </xf>
    <xf numFmtId="166" fontId="22" fillId="0" borderId="6" xfId="0" applyNumberFormat="1" applyFont="1" applyFill="1" applyBorder="1" applyAlignment="1">
      <alignment horizontal="center"/>
    </xf>
    <xf numFmtId="164" fontId="22" fillId="0" borderId="6" xfId="0" applyNumberFormat="1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 vertical="center"/>
    </xf>
    <xf numFmtId="164" fontId="22" fillId="0" borderId="22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/>
    </xf>
    <xf numFmtId="0" fontId="21" fillId="29" borderId="21" xfId="0" applyFont="1" applyFill="1" applyBorder="1" applyAlignment="1">
      <alignment vertical="center"/>
    </xf>
    <xf numFmtId="0" fontId="21" fillId="29" borderId="6" xfId="0" applyFont="1" applyFill="1" applyBorder="1" applyAlignment="1">
      <alignment horizontal="center" vertical="center"/>
    </xf>
    <xf numFmtId="0" fontId="21" fillId="29" borderId="22" xfId="0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1" fontId="22" fillId="0" borderId="24" xfId="0" applyNumberFormat="1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1" fillId="25" borderId="4" xfId="0" applyFont="1" applyFill="1" applyBorder="1" applyAlignment="1">
      <alignment horizontal="center" vertical="center"/>
    </xf>
    <xf numFmtId="0" fontId="21" fillId="15" borderId="4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165" fontId="21" fillId="25" borderId="21" xfId="0" applyNumberFormat="1" applyFont="1" applyFill="1" applyBorder="1" applyAlignment="1">
      <alignment horizontal="center" vertical="center" wrapText="1"/>
    </xf>
    <xf numFmtId="0" fontId="21" fillId="25" borderId="6" xfId="0" applyFont="1" applyFill="1" applyBorder="1" applyAlignment="1">
      <alignment horizontal="center" vertical="center" wrapText="1"/>
    </xf>
    <xf numFmtId="164" fontId="21" fillId="25" borderId="6" xfId="0" applyNumberFormat="1" applyFont="1" applyFill="1" applyBorder="1" applyAlignment="1">
      <alignment horizontal="center" vertical="center" wrapText="1"/>
    </xf>
    <xf numFmtId="164" fontId="21" fillId="15" borderId="6" xfId="0" applyNumberFormat="1" applyFont="1" applyFill="1" applyBorder="1" applyAlignment="1">
      <alignment horizontal="center" vertical="center" wrapText="1"/>
    </xf>
    <xf numFmtId="164" fontId="21" fillId="15" borderId="22" xfId="0" applyNumberFormat="1" applyFont="1" applyFill="1" applyBorder="1" applyAlignment="1">
      <alignment horizontal="center" vertical="center" wrapText="1"/>
    </xf>
    <xf numFmtId="3" fontId="22" fillId="26" borderId="6" xfId="0" applyNumberFormat="1" applyFont="1" applyFill="1" applyBorder="1" applyAlignment="1">
      <alignment horizontal="center"/>
    </xf>
    <xf numFmtId="164" fontId="22" fillId="26" borderId="6" xfId="0" applyNumberFormat="1" applyFont="1" applyFill="1" applyBorder="1" applyAlignment="1">
      <alignment horizontal="center"/>
    </xf>
    <xf numFmtId="0" fontId="22" fillId="26" borderId="6" xfId="0" applyFont="1" applyFill="1" applyBorder="1" applyAlignment="1">
      <alignment horizontal="center"/>
    </xf>
    <xf numFmtId="0" fontId="22" fillId="24" borderId="6" xfId="0" applyFont="1" applyFill="1" applyBorder="1" applyAlignment="1">
      <alignment horizontal="center"/>
    </xf>
    <xf numFmtId="0" fontId="22" fillId="24" borderId="22" xfId="0" applyFont="1" applyFill="1" applyBorder="1" applyAlignment="1">
      <alignment horizontal="center"/>
    </xf>
    <xf numFmtId="0" fontId="21" fillId="25" borderId="6" xfId="0" applyFont="1" applyFill="1" applyBorder="1" applyAlignment="1">
      <alignment horizontal="center" vertical="center"/>
    </xf>
    <xf numFmtId="0" fontId="21" fillId="15" borderId="6" xfId="0" applyFont="1" applyFill="1" applyBorder="1" applyAlignment="1">
      <alignment horizontal="center" vertical="center"/>
    </xf>
    <xf numFmtId="0" fontId="21" fillId="15" borderId="22" xfId="0" applyFont="1" applyFill="1" applyBorder="1" applyAlignment="1">
      <alignment horizontal="center" vertical="center"/>
    </xf>
    <xf numFmtId="0" fontId="22" fillId="26" borderId="24" xfId="0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25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1" fontId="21" fillId="5" borderId="6" xfId="0" applyNumberFormat="1" applyFont="1" applyFill="1" applyBorder="1" applyAlignment="1">
      <alignment horizontal="center"/>
    </xf>
    <xf numFmtId="0" fontId="18" fillId="3" borderId="0" xfId="0" applyFont="1" applyFill="1" applyBorder="1"/>
    <xf numFmtId="9" fontId="19" fillId="3" borderId="0" xfId="0" applyNumberFormat="1" applyFont="1" applyFill="1" applyBorder="1" applyAlignment="1">
      <alignment horizontal="center"/>
    </xf>
    <xf numFmtId="165" fontId="19" fillId="3" borderId="0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22" xfId="0" applyFont="1" applyFill="1" applyBorder="1"/>
    <xf numFmtId="165" fontId="19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19" fillId="16" borderId="0" xfId="0" applyFont="1" applyFill="1" applyBorder="1" applyAlignment="1">
      <alignment horizontal="center"/>
    </xf>
    <xf numFmtId="16" fontId="19" fillId="14" borderId="40" xfId="0" applyNumberFormat="1" applyFont="1" applyFill="1" applyBorder="1" applyAlignment="1">
      <alignment horizontal="center" vertical="center"/>
    </xf>
    <xf numFmtId="3" fontId="19" fillId="0" borderId="48" xfId="0" applyNumberFormat="1" applyFont="1" applyFill="1" applyBorder="1" applyAlignment="1">
      <alignment horizontal="center"/>
    </xf>
    <xf numFmtId="3" fontId="19" fillId="0" borderId="32" xfId="0" applyNumberFormat="1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 vertical="center" wrapText="1"/>
    </xf>
    <xf numFmtId="3" fontId="19" fillId="0" borderId="7" xfId="0" applyNumberFormat="1" applyFont="1" applyFill="1" applyBorder="1" applyAlignment="1">
      <alignment horizontal="center"/>
    </xf>
    <xf numFmtId="3" fontId="19" fillId="0" borderId="22" xfId="0" applyNumberFormat="1" applyFont="1" applyFill="1" applyBorder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19" fillId="20" borderId="21" xfId="0" applyFont="1" applyFill="1" applyBorder="1" applyAlignment="1">
      <alignment horizontal="center"/>
    </xf>
    <xf numFmtId="3" fontId="19" fillId="0" borderId="51" xfId="0" applyNumberFormat="1" applyFont="1" applyFill="1" applyBorder="1" applyAlignment="1">
      <alignment horizontal="center"/>
    </xf>
    <xf numFmtId="16" fontId="19" fillId="17" borderId="52" xfId="0" applyNumberFormat="1" applyFont="1" applyFill="1" applyBorder="1" applyAlignment="1">
      <alignment horizontal="center" vertical="center"/>
    </xf>
    <xf numFmtId="3" fontId="19" fillId="17" borderId="48" xfId="0" applyNumberFormat="1" applyFont="1" applyFill="1" applyBorder="1" applyAlignment="1">
      <alignment horizontal="center"/>
    </xf>
    <xf numFmtId="3" fontId="19" fillId="17" borderId="20" xfId="0" applyNumberFormat="1" applyFont="1" applyFill="1" applyBorder="1" applyAlignment="1">
      <alignment horizontal="center"/>
    </xf>
    <xf numFmtId="16" fontId="19" fillId="17" borderId="34" xfId="0" applyNumberFormat="1" applyFont="1" applyFill="1" applyBorder="1" applyAlignment="1">
      <alignment horizontal="center" vertical="center"/>
    </xf>
    <xf numFmtId="3" fontId="19" fillId="17" borderId="7" xfId="0" applyNumberFormat="1" applyFont="1" applyFill="1" applyBorder="1" applyAlignment="1">
      <alignment horizontal="center"/>
    </xf>
    <xf numFmtId="3" fontId="19" fillId="17" borderId="22" xfId="0" applyNumberFormat="1" applyFont="1" applyFill="1" applyBorder="1" applyAlignment="1">
      <alignment horizontal="center"/>
    </xf>
    <xf numFmtId="16" fontId="19" fillId="17" borderId="59" xfId="0" applyNumberFormat="1" applyFont="1" applyFill="1" applyBorder="1" applyAlignment="1">
      <alignment horizontal="center" vertical="center"/>
    </xf>
    <xf numFmtId="3" fontId="19" fillId="17" borderId="51" xfId="0" applyNumberFormat="1" applyFont="1" applyFill="1" applyBorder="1" applyAlignment="1">
      <alignment horizontal="center"/>
    </xf>
    <xf numFmtId="3" fontId="19" fillId="17" borderId="25" xfId="0" applyNumberFormat="1" applyFont="1" applyFill="1" applyBorder="1" applyAlignment="1">
      <alignment horizontal="center"/>
    </xf>
    <xf numFmtId="16" fontId="19" fillId="17" borderId="39" xfId="0" applyNumberFormat="1" applyFont="1" applyFill="1" applyBorder="1" applyAlignment="1">
      <alignment horizontal="center" vertical="center"/>
    </xf>
    <xf numFmtId="3" fontId="19" fillId="17" borderId="17" xfId="0" applyNumberFormat="1" applyFont="1" applyFill="1" applyBorder="1" applyAlignment="1">
      <alignment horizontal="center"/>
    </xf>
    <xf numFmtId="3" fontId="19" fillId="17" borderId="58" xfId="0" applyNumberFormat="1" applyFont="1" applyFill="1" applyBorder="1" applyAlignment="1">
      <alignment horizontal="center"/>
    </xf>
    <xf numFmtId="16" fontId="19" fillId="0" borderId="0" xfId="0" applyNumberFormat="1" applyFont="1" applyFill="1" applyBorder="1"/>
    <xf numFmtId="16" fontId="19" fillId="0" borderId="45" xfId="0" applyNumberFormat="1" applyFont="1" applyFill="1" applyBorder="1" applyAlignment="1">
      <alignment horizontal="center" vertical="center"/>
    </xf>
    <xf numFmtId="16" fontId="19" fillId="0" borderId="26" xfId="0" applyNumberFormat="1" applyFont="1" applyFill="1" applyBorder="1" applyAlignment="1">
      <alignment horizontal="center" vertical="center"/>
    </xf>
    <xf numFmtId="16" fontId="19" fillId="0" borderId="53" xfId="0" applyNumberFormat="1" applyFont="1" applyFill="1" applyBorder="1" applyAlignment="1">
      <alignment horizontal="center" vertical="center"/>
    </xf>
    <xf numFmtId="3" fontId="19" fillId="0" borderId="25" xfId="0" applyNumberFormat="1" applyFont="1" applyFill="1" applyBorder="1" applyAlignment="1">
      <alignment horizontal="center"/>
    </xf>
    <xf numFmtId="3" fontId="19" fillId="17" borderId="46" xfId="0" applyNumberFormat="1" applyFont="1" applyFill="1" applyBorder="1" applyAlignment="1">
      <alignment horizontal="center"/>
    </xf>
    <xf numFmtId="3" fontId="19" fillId="17" borderId="6" xfId="0" applyNumberFormat="1" applyFont="1" applyFill="1" applyBorder="1" applyAlignment="1">
      <alignment horizontal="center"/>
    </xf>
    <xf numFmtId="3" fontId="19" fillId="17" borderId="14" xfId="0" applyNumberFormat="1" applyFont="1" applyFill="1" applyBorder="1" applyAlignment="1">
      <alignment horizontal="center"/>
    </xf>
    <xf numFmtId="3" fontId="19" fillId="17" borderId="2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/>
    </xf>
    <xf numFmtId="169" fontId="22" fillId="26" borderId="21" xfId="0" applyNumberFormat="1" applyFont="1" applyFill="1" applyBorder="1" applyAlignment="1">
      <alignment horizontal="center"/>
    </xf>
    <xf numFmtId="0" fontId="22" fillId="26" borderId="7" xfId="0" applyFont="1" applyFill="1" applyBorder="1" applyAlignment="1">
      <alignment horizontal="center" vertical="center"/>
    </xf>
    <xf numFmtId="0" fontId="22" fillId="26" borderId="51" xfId="0" applyFont="1" applyFill="1" applyBorder="1" applyAlignment="1">
      <alignment horizontal="center" vertical="center"/>
    </xf>
    <xf numFmtId="0" fontId="22" fillId="26" borderId="68" xfId="0" applyFont="1" applyFill="1" applyBorder="1" applyAlignment="1">
      <alignment vertical="center"/>
    </xf>
    <xf numFmtId="0" fontId="22" fillId="26" borderId="65" xfId="0" applyFont="1" applyFill="1" applyBorder="1" applyAlignment="1">
      <alignment vertical="center"/>
    </xf>
    <xf numFmtId="3" fontId="17" fillId="17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/>
    </xf>
    <xf numFmtId="1" fontId="21" fillId="0" borderId="6" xfId="0" applyNumberFormat="1" applyFont="1" applyFill="1" applyBorder="1" applyAlignment="1">
      <alignment horizontal="center"/>
    </xf>
    <xf numFmtId="3" fontId="19" fillId="0" borderId="0" xfId="0" applyNumberFormat="1" applyFont="1"/>
    <xf numFmtId="2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0" fontId="32" fillId="0" borderId="35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3" fontId="32" fillId="0" borderId="36" xfId="0" applyNumberFormat="1" applyFont="1" applyBorder="1" applyAlignment="1">
      <alignment horizontal="center" vertical="center" wrapText="1"/>
    </xf>
    <xf numFmtId="3" fontId="32" fillId="0" borderId="43" xfId="0" applyNumberFormat="1" applyFont="1" applyBorder="1" applyAlignment="1">
      <alignment horizontal="center" vertical="center" wrapText="1"/>
    </xf>
    <xf numFmtId="2" fontId="32" fillId="0" borderId="43" xfId="0" applyNumberFormat="1" applyFont="1" applyBorder="1" applyAlignment="1">
      <alignment horizontal="center" vertical="center" wrapText="1"/>
    </xf>
    <xf numFmtId="16" fontId="16" fillId="5" borderId="52" xfId="0" applyNumberFormat="1" applyFont="1" applyFill="1" applyBorder="1" applyAlignment="1">
      <alignment horizontal="center" vertical="center"/>
    </xf>
    <xf numFmtId="3" fontId="16" fillId="5" borderId="48" xfId="0" applyNumberFormat="1" applyFont="1" applyFill="1" applyBorder="1" applyAlignment="1">
      <alignment horizontal="center"/>
    </xf>
    <xf numFmtId="3" fontId="16" fillId="5" borderId="20" xfId="0" applyNumberFormat="1" applyFont="1" applyFill="1" applyBorder="1" applyAlignment="1">
      <alignment horizontal="center"/>
    </xf>
    <xf numFmtId="3" fontId="30" fillId="5" borderId="6" xfId="0" applyNumberFormat="1" applyFont="1" applyFill="1" applyBorder="1" applyAlignment="1">
      <alignment horizontal="center" vertical="center" wrapText="1"/>
    </xf>
    <xf numFmtId="16" fontId="16" fillId="5" borderId="34" xfId="0" applyNumberFormat="1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horizontal="center"/>
    </xf>
    <xf numFmtId="3" fontId="16" fillId="5" borderId="22" xfId="0" applyNumberFormat="1" applyFont="1" applyFill="1" applyBorder="1" applyAlignment="1">
      <alignment horizontal="center"/>
    </xf>
    <xf numFmtId="3" fontId="16" fillId="5" borderId="6" xfId="0" applyNumberFormat="1" applyFont="1" applyFill="1" applyBorder="1" applyAlignment="1">
      <alignment horizontal="center"/>
    </xf>
    <xf numFmtId="16" fontId="16" fillId="5" borderId="59" xfId="0" applyNumberFormat="1" applyFont="1" applyFill="1" applyBorder="1" applyAlignment="1">
      <alignment horizontal="center" vertical="center"/>
    </xf>
    <xf numFmtId="3" fontId="16" fillId="5" borderId="60" xfId="0" applyNumberFormat="1" applyFont="1" applyFill="1" applyBorder="1" applyAlignment="1">
      <alignment horizontal="center"/>
    </xf>
    <xf numFmtId="3" fontId="16" fillId="5" borderId="25" xfId="0" applyNumberFormat="1" applyFont="1" applyFill="1" applyBorder="1" applyAlignment="1">
      <alignment horizontal="center"/>
    </xf>
    <xf numFmtId="16" fontId="16" fillId="5" borderId="39" xfId="0" applyNumberFormat="1" applyFont="1" applyFill="1" applyBorder="1" applyAlignment="1">
      <alignment horizontal="center" vertical="center"/>
    </xf>
    <xf numFmtId="16" fontId="16" fillId="13" borderId="40" xfId="0" applyNumberFormat="1" applyFont="1" applyFill="1" applyBorder="1" applyAlignment="1">
      <alignment horizontal="center" vertical="center"/>
    </xf>
    <xf numFmtId="3" fontId="16" fillId="5" borderId="49" xfId="0" applyNumberFormat="1" applyFont="1" applyFill="1" applyBorder="1" applyAlignment="1">
      <alignment horizontal="center"/>
    </xf>
    <xf numFmtId="16" fontId="16" fillId="13" borderId="62" xfId="0" applyNumberFormat="1" applyFont="1" applyFill="1" applyBorder="1" applyAlignment="1">
      <alignment horizontal="center" vertical="center"/>
    </xf>
    <xf numFmtId="3" fontId="16" fillId="5" borderId="16" xfId="0" applyNumberFormat="1" applyFont="1" applyFill="1" applyBorder="1" applyAlignment="1">
      <alignment horizontal="center"/>
    </xf>
    <xf numFmtId="3" fontId="16" fillId="5" borderId="8" xfId="0" applyNumberFormat="1" applyFont="1" applyFill="1" applyBorder="1" applyAlignment="1">
      <alignment horizontal="center"/>
    </xf>
    <xf numFmtId="16" fontId="16" fillId="13" borderId="64" xfId="0" applyNumberFormat="1" applyFont="1" applyFill="1" applyBorder="1" applyAlignment="1">
      <alignment horizontal="center" vertical="center"/>
    </xf>
    <xf numFmtId="16" fontId="16" fillId="5" borderId="40" xfId="0" applyNumberFormat="1" applyFont="1" applyFill="1" applyBorder="1" applyAlignment="1">
      <alignment horizontal="center" vertical="center"/>
    </xf>
    <xf numFmtId="16" fontId="16" fillId="11" borderId="62" xfId="0" applyNumberFormat="1" applyFont="1" applyFill="1" applyBorder="1" applyAlignment="1">
      <alignment horizontal="center" vertical="center"/>
    </xf>
    <xf numFmtId="3" fontId="16" fillId="5" borderId="29" xfId="0" applyNumberFormat="1" applyFont="1" applyFill="1" applyBorder="1" applyAlignment="1">
      <alignment horizontal="center"/>
    </xf>
    <xf numFmtId="3" fontId="16" fillId="5" borderId="7" xfId="0" applyNumberFormat="1" applyFont="1" applyFill="1" applyBorder="1" applyAlignment="1">
      <alignment horizontal="center"/>
    </xf>
    <xf numFmtId="3" fontId="16" fillId="5" borderId="51" xfId="0" applyNumberFormat="1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6" fillId="3" borderId="45" xfId="0" applyFont="1" applyFill="1" applyBorder="1" applyAlignment="1">
      <alignment horizontal="center"/>
    </xf>
    <xf numFmtId="3" fontId="16" fillId="5" borderId="17" xfId="0" applyNumberFormat="1" applyFont="1" applyFill="1" applyBorder="1" applyAlignment="1">
      <alignment horizontal="center"/>
    </xf>
    <xf numFmtId="3" fontId="16" fillId="5" borderId="58" xfId="0" applyNumberFormat="1" applyFont="1" applyFill="1" applyBorder="1" applyAlignment="1">
      <alignment horizontal="center"/>
    </xf>
    <xf numFmtId="16" fontId="16" fillId="13" borderId="34" xfId="0" applyNumberFormat="1" applyFont="1" applyFill="1" applyBorder="1" applyAlignment="1">
      <alignment horizontal="center" vertical="center"/>
    </xf>
    <xf numFmtId="16" fontId="16" fillId="13" borderId="59" xfId="0" applyNumberFormat="1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/>
    </xf>
    <xf numFmtId="3" fontId="30" fillId="12" borderId="0" xfId="0" applyNumberFormat="1" applyFont="1" applyFill="1" applyAlignment="1">
      <alignment horizontal="center" vertical="center"/>
    </xf>
    <xf numFmtId="2" fontId="30" fillId="12" borderId="0" xfId="0" applyNumberFormat="1" applyFont="1" applyFill="1" applyAlignment="1">
      <alignment horizontal="center" vertical="center"/>
    </xf>
    <xf numFmtId="3" fontId="34" fillId="12" borderId="0" xfId="0" applyNumberFormat="1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3" fontId="16" fillId="5" borderId="48" xfId="0" applyNumberFormat="1" applyFont="1" applyFill="1" applyBorder="1" applyAlignment="1">
      <alignment horizontal="center" vertical="center"/>
    </xf>
    <xf numFmtId="3" fontId="16" fillId="5" borderId="20" xfId="0" applyNumberFormat="1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3" fontId="16" fillId="5" borderId="5" xfId="0" applyNumberFormat="1" applyFont="1" applyFill="1" applyBorder="1" applyAlignment="1">
      <alignment horizontal="center" vertical="center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3" fontId="16" fillId="5" borderId="60" xfId="0" applyNumberFormat="1" applyFont="1" applyFill="1" applyBorder="1" applyAlignment="1">
      <alignment horizontal="center" vertical="center"/>
    </xf>
    <xf numFmtId="3" fontId="16" fillId="5" borderId="25" xfId="0" applyNumberFormat="1" applyFont="1" applyFill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3" fontId="16" fillId="5" borderId="49" xfId="0" applyNumberFormat="1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3" fontId="16" fillId="5" borderId="16" xfId="0" applyNumberFormat="1" applyFont="1" applyFill="1" applyBorder="1" applyAlignment="1">
      <alignment horizontal="center" vertical="center"/>
    </xf>
    <xf numFmtId="3" fontId="16" fillId="5" borderId="8" xfId="0" applyNumberFormat="1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3" fontId="16" fillId="5" borderId="29" xfId="0" applyNumberFormat="1" applyFont="1" applyFill="1" applyBorder="1" applyAlignment="1">
      <alignment horizontal="center" vertical="center"/>
    </xf>
    <xf numFmtId="3" fontId="16" fillId="5" borderId="7" xfId="0" applyNumberFormat="1" applyFont="1" applyFill="1" applyBorder="1" applyAlignment="1">
      <alignment horizontal="center" vertical="center"/>
    </xf>
    <xf numFmtId="3" fontId="16" fillId="5" borderId="51" xfId="0" applyNumberFormat="1" applyFont="1" applyFill="1" applyBorder="1" applyAlignment="1">
      <alignment horizontal="center" vertical="center"/>
    </xf>
    <xf numFmtId="0" fontId="16" fillId="21" borderId="0" xfId="0" applyFont="1" applyFill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3" fontId="16" fillId="5" borderId="17" xfId="0" applyNumberFormat="1" applyFont="1" applyFill="1" applyBorder="1" applyAlignment="1">
      <alignment horizontal="center" vertical="center"/>
    </xf>
    <xf numFmtId="3" fontId="16" fillId="5" borderId="58" xfId="0" applyNumberFormat="1" applyFont="1" applyFill="1" applyBorder="1" applyAlignment="1">
      <alignment horizontal="center" vertical="center"/>
    </xf>
    <xf numFmtId="3" fontId="16" fillId="13" borderId="7" xfId="0" applyNumberFormat="1" applyFont="1" applyFill="1" applyBorder="1" applyAlignment="1">
      <alignment horizontal="center" vertical="center"/>
    </xf>
    <xf numFmtId="3" fontId="16" fillId="13" borderId="51" xfId="0" applyNumberFormat="1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25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0" borderId="45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61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6" fillId="16" borderId="0" xfId="0" applyFont="1" applyFill="1" applyBorder="1" applyAlignment="1">
      <alignment horizontal="center"/>
    </xf>
    <xf numFmtId="16" fontId="16" fillId="14" borderId="40" xfId="0" applyNumberFormat="1" applyFont="1" applyFill="1" applyBorder="1" applyAlignment="1">
      <alignment horizontal="center" vertical="center"/>
    </xf>
    <xf numFmtId="16" fontId="16" fillId="5" borderId="62" xfId="0" applyNumberFormat="1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/>
    </xf>
    <xf numFmtId="0" fontId="16" fillId="0" borderId="63" xfId="0" applyFont="1" applyFill="1" applyBorder="1" applyAlignment="1">
      <alignment horizontal="center"/>
    </xf>
    <xf numFmtId="16" fontId="16" fillId="13" borderId="52" xfId="0" applyNumberFormat="1" applyFont="1" applyFill="1" applyBorder="1" applyAlignment="1">
      <alignment horizontal="center" vertical="center"/>
    </xf>
    <xf numFmtId="16" fontId="16" fillId="0" borderId="52" xfId="0" applyNumberFormat="1" applyFont="1" applyFill="1" applyBorder="1" applyAlignment="1">
      <alignment horizontal="center" vertical="center"/>
    </xf>
    <xf numFmtId="3" fontId="16" fillId="0" borderId="48" xfId="0" applyNumberFormat="1" applyFont="1" applyFill="1" applyBorder="1" applyAlignment="1">
      <alignment horizontal="center"/>
    </xf>
    <xf numFmtId="3" fontId="16" fillId="0" borderId="32" xfId="0" applyNumberFormat="1" applyFont="1" applyFill="1" applyBorder="1" applyAlignment="1">
      <alignment horizontal="center"/>
    </xf>
    <xf numFmtId="3" fontId="30" fillId="0" borderId="6" xfId="0" applyNumberFormat="1" applyFont="1" applyFill="1" applyBorder="1" applyAlignment="1">
      <alignment horizontal="center" vertical="center" wrapText="1"/>
    </xf>
    <xf numFmtId="16" fontId="16" fillId="0" borderId="34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/>
    </xf>
    <xf numFmtId="3" fontId="16" fillId="0" borderId="22" xfId="0" applyNumberFormat="1" applyFont="1" applyFill="1" applyBorder="1" applyAlignment="1">
      <alignment horizontal="center"/>
    </xf>
    <xf numFmtId="0" fontId="16" fillId="13" borderId="0" xfId="0" applyFont="1" applyFill="1" applyBorder="1" applyAlignment="1">
      <alignment horizontal="center"/>
    </xf>
    <xf numFmtId="0" fontId="16" fillId="20" borderId="21" xfId="0" applyFont="1" applyFill="1" applyBorder="1" applyAlignment="1">
      <alignment horizontal="center"/>
    </xf>
    <xf numFmtId="16" fontId="16" fillId="0" borderId="59" xfId="0" applyNumberFormat="1" applyFont="1" applyFill="1" applyBorder="1" applyAlignment="1">
      <alignment horizontal="center" vertical="center"/>
    </xf>
    <xf numFmtId="3" fontId="16" fillId="0" borderId="51" xfId="0" applyNumberFormat="1" applyFont="1" applyFill="1" applyBorder="1" applyAlignment="1">
      <alignment horizontal="center"/>
    </xf>
    <xf numFmtId="0" fontId="16" fillId="13" borderId="45" xfId="0" applyFont="1" applyFill="1" applyBorder="1" applyAlignment="1">
      <alignment horizontal="center"/>
    </xf>
    <xf numFmtId="16" fontId="16" fillId="17" borderId="52" xfId="0" applyNumberFormat="1" applyFont="1" applyFill="1" applyBorder="1" applyAlignment="1">
      <alignment horizontal="center" vertical="center"/>
    </xf>
    <xf numFmtId="3" fontId="16" fillId="17" borderId="48" xfId="0" applyNumberFormat="1" applyFont="1" applyFill="1" applyBorder="1" applyAlignment="1">
      <alignment horizontal="center"/>
    </xf>
    <xf numFmtId="3" fontId="16" fillId="17" borderId="20" xfId="0" applyNumberFormat="1" applyFont="1" applyFill="1" applyBorder="1" applyAlignment="1">
      <alignment horizontal="center"/>
    </xf>
    <xf numFmtId="3" fontId="30" fillId="17" borderId="6" xfId="0" applyNumberFormat="1" applyFont="1" applyFill="1" applyBorder="1" applyAlignment="1">
      <alignment horizontal="center" vertical="center" wrapText="1"/>
    </xf>
    <xf numFmtId="16" fontId="16" fillId="17" borderId="34" xfId="0" applyNumberFormat="1" applyFont="1" applyFill="1" applyBorder="1" applyAlignment="1">
      <alignment horizontal="center" vertical="center"/>
    </xf>
    <xf numFmtId="3" fontId="16" fillId="17" borderId="7" xfId="0" applyNumberFormat="1" applyFont="1" applyFill="1" applyBorder="1" applyAlignment="1">
      <alignment horizontal="center"/>
    </xf>
    <xf numFmtId="3" fontId="16" fillId="17" borderId="22" xfId="0" applyNumberFormat="1" applyFont="1" applyFill="1" applyBorder="1" applyAlignment="1">
      <alignment horizontal="center"/>
    </xf>
    <xf numFmtId="16" fontId="16" fillId="17" borderId="59" xfId="0" applyNumberFormat="1" applyFont="1" applyFill="1" applyBorder="1" applyAlignment="1">
      <alignment horizontal="center" vertical="center"/>
    </xf>
    <xf numFmtId="3" fontId="16" fillId="17" borderId="51" xfId="0" applyNumberFormat="1" applyFont="1" applyFill="1" applyBorder="1" applyAlignment="1">
      <alignment horizontal="center"/>
    </xf>
    <xf numFmtId="3" fontId="16" fillId="17" borderId="25" xfId="0" applyNumberFormat="1" applyFont="1" applyFill="1" applyBorder="1" applyAlignment="1">
      <alignment horizontal="center"/>
    </xf>
    <xf numFmtId="3" fontId="30" fillId="17" borderId="19" xfId="0" applyNumberFormat="1" applyFont="1" applyFill="1" applyBorder="1" applyAlignment="1">
      <alignment horizontal="center" vertical="center" wrapText="1"/>
    </xf>
    <xf numFmtId="3" fontId="30" fillId="17" borderId="39" xfId="0" applyNumberFormat="1" applyFont="1" applyFill="1" applyBorder="1" applyAlignment="1">
      <alignment horizontal="center" vertical="center" wrapText="1"/>
    </xf>
    <xf numFmtId="3" fontId="30" fillId="17" borderId="34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/>
    </xf>
    <xf numFmtId="3" fontId="16" fillId="17" borderId="5" xfId="0" applyNumberFormat="1" applyFont="1" applyFill="1" applyBorder="1" applyAlignment="1">
      <alignment horizontal="center"/>
    </xf>
    <xf numFmtId="3" fontId="16" fillId="17" borderId="27" xfId="0" applyNumberFormat="1" applyFont="1" applyFill="1" applyBorder="1" applyAlignment="1">
      <alignment horizontal="center"/>
    </xf>
    <xf numFmtId="0" fontId="16" fillId="0" borderId="47" xfId="0" applyFont="1" applyFill="1" applyBorder="1" applyAlignment="1">
      <alignment horizontal="center"/>
    </xf>
    <xf numFmtId="16" fontId="16" fillId="17" borderId="39" xfId="0" applyNumberFormat="1" applyFont="1" applyFill="1" applyBorder="1" applyAlignment="1">
      <alignment horizontal="center" vertical="center"/>
    </xf>
    <xf numFmtId="3" fontId="16" fillId="17" borderId="17" xfId="0" applyNumberFormat="1" applyFont="1" applyFill="1" applyBorder="1" applyAlignment="1">
      <alignment horizontal="center"/>
    </xf>
    <xf numFmtId="3" fontId="16" fillId="17" borderId="58" xfId="0" applyNumberFormat="1" applyFont="1" applyFill="1" applyBorder="1" applyAlignment="1">
      <alignment horizontal="center"/>
    </xf>
    <xf numFmtId="16" fontId="16" fillId="17" borderId="45" xfId="0" applyNumberFormat="1" applyFont="1" applyFill="1" applyBorder="1" applyAlignment="1">
      <alignment horizontal="center" vertical="center"/>
    </xf>
    <xf numFmtId="16" fontId="16" fillId="17" borderId="26" xfId="0" applyNumberFormat="1" applyFont="1" applyFill="1" applyBorder="1" applyAlignment="1">
      <alignment horizontal="center" vertical="center"/>
    </xf>
    <xf numFmtId="16" fontId="16" fillId="17" borderId="53" xfId="0" applyNumberFormat="1" applyFont="1" applyFill="1" applyBorder="1" applyAlignment="1">
      <alignment horizontal="center" vertical="center"/>
    </xf>
    <xf numFmtId="0" fontId="16" fillId="20" borderId="45" xfId="0" applyFont="1" applyFill="1" applyBorder="1" applyAlignment="1">
      <alignment horizontal="center"/>
    </xf>
    <xf numFmtId="16" fontId="16" fillId="0" borderId="0" xfId="0" applyNumberFormat="1" applyFont="1" applyFill="1" applyBorder="1"/>
    <xf numFmtId="3" fontId="16" fillId="0" borderId="0" xfId="0" applyNumberFormat="1" applyFont="1" applyFill="1" applyBorder="1"/>
    <xf numFmtId="3" fontId="30" fillId="12" borderId="0" xfId="0" applyNumberFormat="1" applyFont="1" applyFill="1" applyBorder="1" applyAlignment="1">
      <alignment horizontal="center" vertical="center"/>
    </xf>
    <xf numFmtId="3" fontId="30" fillId="12" borderId="0" xfId="0" applyNumberFormat="1" applyFont="1" applyFill="1" applyBorder="1" applyAlignment="1">
      <alignment horizontal="center"/>
    </xf>
    <xf numFmtId="2" fontId="30" fillId="12" borderId="0" xfId="0" applyNumberFormat="1" applyFont="1" applyFill="1" applyBorder="1" applyAlignment="1">
      <alignment horizontal="center"/>
    </xf>
    <xf numFmtId="3" fontId="34" fillId="12" borderId="0" xfId="0" applyNumberFormat="1" applyFont="1" applyFill="1" applyBorder="1" applyAlignment="1">
      <alignment horizontal="center"/>
    </xf>
    <xf numFmtId="3" fontId="7" fillId="12" borderId="0" xfId="0" applyNumberFormat="1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center" vertical="center" wrapText="1"/>
    </xf>
    <xf numFmtId="3" fontId="32" fillId="0" borderId="36" xfId="0" applyNumberFormat="1" applyFont="1" applyFill="1" applyBorder="1" applyAlignment="1">
      <alignment horizontal="center" vertical="center" wrapText="1"/>
    </xf>
    <xf numFmtId="3" fontId="32" fillId="0" borderId="43" xfId="0" applyNumberFormat="1" applyFont="1" applyFill="1" applyBorder="1" applyAlignment="1">
      <alignment horizontal="center" vertical="center" wrapText="1"/>
    </xf>
    <xf numFmtId="2" fontId="32" fillId="0" borderId="43" xfId="0" applyNumberFormat="1" applyFont="1" applyFill="1" applyBorder="1" applyAlignment="1">
      <alignment horizontal="center" vertical="center" wrapText="1"/>
    </xf>
    <xf numFmtId="2" fontId="7" fillId="12" borderId="0" xfId="0" applyNumberFormat="1" applyFont="1" applyFill="1" applyBorder="1" applyAlignment="1">
      <alignment horizontal="center" vertical="center"/>
    </xf>
    <xf numFmtId="3" fontId="35" fillId="12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2" fontId="30" fillId="12" borderId="0" xfId="0" applyNumberFormat="1" applyFont="1" applyFill="1" applyBorder="1" applyAlignment="1">
      <alignment horizontal="center" vertical="center"/>
    </xf>
    <xf numFmtId="3" fontId="34" fillId="12" borderId="0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/>
    </xf>
    <xf numFmtId="3" fontId="16" fillId="0" borderId="20" xfId="0" applyNumberFormat="1" applyFont="1" applyFill="1" applyBorder="1" applyAlignment="1">
      <alignment horizontal="center"/>
    </xf>
    <xf numFmtId="3" fontId="16" fillId="0" borderId="6" xfId="0" applyNumberFormat="1" applyFont="1" applyFill="1" applyBorder="1" applyAlignment="1">
      <alignment horizontal="center"/>
    </xf>
    <xf numFmtId="3" fontId="16" fillId="0" borderId="24" xfId="0" applyNumberFormat="1" applyFont="1" applyFill="1" applyBorder="1" applyAlignment="1">
      <alignment horizontal="center"/>
    </xf>
    <xf numFmtId="3" fontId="16" fillId="0" borderId="25" xfId="0" applyNumberFormat="1" applyFont="1" applyFill="1" applyBorder="1" applyAlignment="1">
      <alignment horizontal="center"/>
    </xf>
    <xf numFmtId="0" fontId="16" fillId="13" borderId="45" xfId="0" applyFont="1" applyFill="1" applyBorder="1" applyAlignment="1">
      <alignment horizontal="center" vertical="center"/>
    </xf>
    <xf numFmtId="3" fontId="16" fillId="17" borderId="48" xfId="0" applyNumberFormat="1" applyFont="1" applyFill="1" applyBorder="1" applyAlignment="1">
      <alignment horizontal="center" vertical="center"/>
    </xf>
    <xf numFmtId="3" fontId="16" fillId="17" borderId="20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3" fontId="16" fillId="17" borderId="7" xfId="0" applyNumberFormat="1" applyFont="1" applyFill="1" applyBorder="1" applyAlignment="1">
      <alignment horizontal="center" vertical="center"/>
    </xf>
    <xf numFmtId="3" fontId="16" fillId="17" borderId="22" xfId="0" applyNumberFormat="1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3" fontId="16" fillId="17" borderId="17" xfId="0" applyNumberFormat="1" applyFont="1" applyFill="1" applyBorder="1" applyAlignment="1">
      <alignment horizontal="center" vertical="center"/>
    </xf>
    <xf numFmtId="3" fontId="16" fillId="17" borderId="58" xfId="0" applyNumberFormat="1" applyFont="1" applyFill="1" applyBorder="1" applyAlignment="1">
      <alignment horizontal="center" vertical="center"/>
    </xf>
    <xf numFmtId="3" fontId="16" fillId="17" borderId="43" xfId="0" applyNumberFormat="1" applyFont="1" applyFill="1" applyBorder="1" applyAlignment="1">
      <alignment horizontal="center"/>
    </xf>
    <xf numFmtId="3" fontId="16" fillId="17" borderId="32" xfId="0" applyNumberFormat="1" applyFont="1" applyFill="1" applyBorder="1" applyAlignment="1">
      <alignment horizontal="center"/>
    </xf>
    <xf numFmtId="3" fontId="30" fillId="17" borderId="42" xfId="0" applyNumberFormat="1" applyFont="1" applyFill="1" applyBorder="1" applyAlignment="1">
      <alignment vertical="center" wrapText="1"/>
    </xf>
    <xf numFmtId="3" fontId="30" fillId="17" borderId="0" xfId="0" applyNumberFormat="1" applyFont="1" applyFill="1" applyBorder="1" applyAlignment="1">
      <alignment vertical="center" wrapText="1"/>
    </xf>
    <xf numFmtId="3" fontId="30" fillId="17" borderId="31" xfId="0" applyNumberFormat="1" applyFont="1" applyFill="1" applyBorder="1" applyAlignment="1">
      <alignment vertical="center" wrapText="1"/>
    </xf>
    <xf numFmtId="3" fontId="30" fillId="17" borderId="15" xfId="0" applyNumberFormat="1" applyFont="1" applyFill="1" applyBorder="1" applyAlignment="1">
      <alignment vertical="center" wrapText="1"/>
    </xf>
    <xf numFmtId="3" fontId="30" fillId="17" borderId="54" xfId="0" applyNumberFormat="1" applyFont="1" applyFill="1" applyBorder="1" applyAlignment="1">
      <alignment vertical="center" wrapText="1"/>
    </xf>
    <xf numFmtId="3" fontId="30" fillId="17" borderId="44" xfId="0" applyNumberFormat="1" applyFont="1" applyFill="1" applyBorder="1" applyAlignment="1">
      <alignment vertical="center" wrapText="1"/>
    </xf>
    <xf numFmtId="3" fontId="30" fillId="17" borderId="9" xfId="0" applyNumberFormat="1" applyFont="1" applyFill="1" applyBorder="1" applyAlignment="1">
      <alignment horizontal="center" vertical="center" wrapText="1"/>
    </xf>
    <xf numFmtId="3" fontId="30" fillId="17" borderId="56" xfId="0" applyNumberFormat="1" applyFont="1" applyFill="1" applyBorder="1" applyAlignment="1">
      <alignment vertical="center" wrapText="1"/>
    </xf>
    <xf numFmtId="0" fontId="16" fillId="20" borderId="23" xfId="0" applyFont="1" applyFill="1" applyBorder="1" applyAlignment="1">
      <alignment horizontal="center"/>
    </xf>
    <xf numFmtId="3" fontId="30" fillId="17" borderId="28" xfId="0" applyNumberFormat="1" applyFont="1" applyFill="1" applyBorder="1" applyAlignment="1">
      <alignment vertical="center" wrapText="1"/>
    </xf>
    <xf numFmtId="16" fontId="16" fillId="16" borderId="40" xfId="0" applyNumberFormat="1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/>
    </xf>
    <xf numFmtId="3" fontId="16" fillId="5" borderId="18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16" fontId="16" fillId="0" borderId="39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/>
    </xf>
    <xf numFmtId="3" fontId="16" fillId="0" borderId="58" xfId="0" applyNumberFormat="1" applyFont="1" applyFill="1" applyBorder="1" applyAlignment="1">
      <alignment horizontal="center"/>
    </xf>
    <xf numFmtId="16" fontId="16" fillId="22" borderId="52" xfId="0" applyNumberFormat="1" applyFont="1" applyFill="1" applyBorder="1" applyAlignment="1">
      <alignment horizontal="center" vertical="center"/>
    </xf>
    <xf numFmtId="16" fontId="16" fillId="22" borderId="34" xfId="0" applyNumberFormat="1" applyFont="1" applyFill="1" applyBorder="1" applyAlignment="1">
      <alignment horizontal="center" vertical="center"/>
    </xf>
    <xf numFmtId="16" fontId="16" fillId="22" borderId="59" xfId="0" applyNumberFormat="1" applyFont="1" applyFill="1" applyBorder="1" applyAlignment="1">
      <alignment horizontal="center" vertical="center"/>
    </xf>
    <xf numFmtId="3" fontId="16" fillId="17" borderId="46" xfId="0" applyNumberFormat="1" applyFont="1" applyFill="1" applyBorder="1" applyAlignment="1">
      <alignment horizontal="center"/>
    </xf>
    <xf numFmtId="3" fontId="16" fillId="17" borderId="6" xfId="0" applyNumberFormat="1" applyFont="1" applyFill="1" applyBorder="1" applyAlignment="1">
      <alignment horizontal="center"/>
    </xf>
    <xf numFmtId="3" fontId="16" fillId="17" borderId="24" xfId="0" applyNumberFormat="1" applyFont="1" applyFill="1" applyBorder="1" applyAlignment="1">
      <alignment horizontal="center"/>
    </xf>
    <xf numFmtId="3" fontId="16" fillId="17" borderId="4" xfId="0" applyNumberFormat="1" applyFont="1" applyFill="1" applyBorder="1" applyAlignment="1">
      <alignment horizontal="center"/>
    </xf>
    <xf numFmtId="16" fontId="16" fillId="22" borderId="39" xfId="0" applyNumberFormat="1" applyFont="1" applyFill="1" applyBorder="1" applyAlignment="1">
      <alignment horizontal="center" vertical="center"/>
    </xf>
    <xf numFmtId="3" fontId="16" fillId="17" borderId="14" xfId="0" applyNumberFormat="1" applyFont="1" applyFill="1" applyBorder="1" applyAlignment="1">
      <alignment horizontal="center"/>
    </xf>
    <xf numFmtId="16" fontId="16" fillId="22" borderId="46" xfId="0" applyNumberFormat="1" applyFont="1" applyFill="1" applyBorder="1" applyAlignment="1">
      <alignment horizontal="center" vertical="center"/>
    </xf>
    <xf numFmtId="16" fontId="16" fillId="22" borderId="6" xfId="0" applyNumberFormat="1" applyFont="1" applyFill="1" applyBorder="1" applyAlignment="1">
      <alignment horizontal="center" vertical="center"/>
    </xf>
    <xf numFmtId="16" fontId="16" fillId="22" borderId="24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30" fillId="0" borderId="6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16" fillId="0" borderId="6" xfId="0" applyFont="1" applyFill="1" applyBorder="1"/>
    <xf numFmtId="3" fontId="16" fillId="4" borderId="6" xfId="0" applyNumberFormat="1" applyFont="1" applyFill="1" applyBorder="1" applyAlignment="1">
      <alignment horizontal="center" vertical="center"/>
    </xf>
    <xf numFmtId="10" fontId="16" fillId="5" borderId="6" xfId="0" applyNumberFormat="1" applyFont="1" applyFill="1" applyBorder="1" applyAlignment="1">
      <alignment horizontal="center"/>
    </xf>
    <xf numFmtId="10" fontId="16" fillId="6" borderId="6" xfId="0" applyNumberFormat="1" applyFont="1" applyFill="1" applyBorder="1" applyAlignment="1">
      <alignment horizontal="center"/>
    </xf>
    <xf numFmtId="0" fontId="15" fillId="0" borderId="6" xfId="0" applyFont="1" applyBorder="1"/>
    <xf numFmtId="0" fontId="15" fillId="0" borderId="0" xfId="0" applyFont="1" applyBorder="1"/>
    <xf numFmtId="0" fontId="30" fillId="27" borderId="6" xfId="0" applyFont="1" applyFill="1" applyBorder="1" applyAlignment="1">
      <alignment horizontal="center" vertical="center" wrapText="1"/>
    </xf>
    <xf numFmtId="10" fontId="15" fillId="2" borderId="6" xfId="0" applyNumberFormat="1" applyFont="1" applyFill="1" applyBorder="1" applyAlignment="1">
      <alignment horizontal="center"/>
    </xf>
    <xf numFmtId="10" fontId="15" fillId="0" borderId="6" xfId="0" applyNumberFormat="1" applyFont="1" applyBorder="1" applyAlignment="1">
      <alignment horizontal="center"/>
    </xf>
    <xf numFmtId="10" fontId="38" fillId="2" borderId="6" xfId="0" applyNumberFormat="1" applyFont="1" applyFill="1" applyBorder="1" applyAlignment="1">
      <alignment horizontal="center"/>
    </xf>
    <xf numFmtId="9" fontId="38" fillId="2" borderId="6" xfId="0" applyNumberFormat="1" applyFont="1" applyFill="1" applyBorder="1" applyAlignment="1">
      <alignment horizontal="center"/>
    </xf>
    <xf numFmtId="9" fontId="15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7" fontId="40" fillId="3" borderId="6" xfId="0" applyNumberFormat="1" applyFont="1" applyFill="1" applyBorder="1" applyAlignment="1">
      <alignment horizontal="center"/>
    </xf>
    <xf numFmtId="1" fontId="41" fillId="3" borderId="6" xfId="0" applyNumberFormat="1" applyFont="1" applyFill="1" applyBorder="1" applyAlignment="1">
      <alignment horizontal="center"/>
    </xf>
    <xf numFmtId="167" fontId="34" fillId="3" borderId="6" xfId="0" applyNumberFormat="1" applyFont="1" applyFill="1" applyBorder="1" applyAlignment="1">
      <alignment horizontal="center"/>
    </xf>
    <xf numFmtId="1" fontId="42" fillId="3" borderId="6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43" fillId="0" borderId="27" xfId="0" applyFont="1" applyBorder="1"/>
    <xf numFmtId="167" fontId="43" fillId="3" borderId="6" xfId="0" applyNumberFormat="1" applyFont="1" applyFill="1" applyBorder="1" applyAlignment="1">
      <alignment horizontal="center"/>
    </xf>
    <xf numFmtId="1" fontId="44" fillId="3" borderId="6" xfId="0" applyNumberFormat="1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40" fillId="0" borderId="22" xfId="0" applyFont="1" applyBorder="1"/>
    <xf numFmtId="0" fontId="15" fillId="0" borderId="23" xfId="0" applyFont="1" applyBorder="1" applyAlignment="1">
      <alignment horizontal="center"/>
    </xf>
    <xf numFmtId="0" fontId="45" fillId="0" borderId="25" xfId="0" applyFont="1" applyBorder="1"/>
    <xf numFmtId="1" fontId="38" fillId="3" borderId="6" xfId="0" applyNumberFormat="1" applyFont="1" applyFill="1" applyBorder="1" applyAlignment="1">
      <alignment horizontal="center"/>
    </xf>
    <xf numFmtId="9" fontId="15" fillId="0" borderId="0" xfId="0" applyNumberFormat="1" applyFont="1" applyBorder="1" applyAlignment="1">
      <alignment horizontal="center"/>
    </xf>
    <xf numFmtId="9" fontId="38" fillId="0" borderId="0" xfId="0" applyNumberFormat="1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0" borderId="25" xfId="0" applyFont="1" applyFill="1" applyBorder="1"/>
    <xf numFmtId="0" fontId="36" fillId="13" borderId="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left"/>
    </xf>
    <xf numFmtId="0" fontId="36" fillId="3" borderId="0" xfId="0" applyFont="1" applyFill="1" applyBorder="1" applyAlignment="1">
      <alignment horizontal="center"/>
    </xf>
    <xf numFmtId="0" fontId="36" fillId="3" borderId="0" xfId="0" applyFont="1" applyFill="1" applyBorder="1"/>
    <xf numFmtId="0" fontId="47" fillId="3" borderId="0" xfId="0" applyFont="1" applyFill="1" applyBorder="1" applyAlignment="1">
      <alignment horizontal="center"/>
    </xf>
    <xf numFmtId="164" fontId="47" fillId="3" borderId="0" xfId="0" applyNumberFormat="1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 vertical="center"/>
    </xf>
    <xf numFmtId="0" fontId="47" fillId="3" borderId="0" xfId="0" applyFont="1" applyFill="1" applyBorder="1"/>
    <xf numFmtId="0" fontId="48" fillId="3" borderId="0" xfId="0" applyFont="1" applyFill="1" applyBorder="1"/>
    <xf numFmtId="0" fontId="49" fillId="3" borderId="0" xfId="0" applyFont="1" applyFill="1" applyBorder="1"/>
    <xf numFmtId="0" fontId="46" fillId="3" borderId="0" xfId="0" applyFont="1" applyFill="1" applyBorder="1"/>
    <xf numFmtId="0" fontId="19" fillId="0" borderId="17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7" fillId="7" borderId="41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/>
    </xf>
    <xf numFmtId="0" fontId="17" fillId="7" borderId="44" xfId="0" applyFont="1" applyFill="1" applyBorder="1" applyAlignment="1">
      <alignment horizontal="center" vertical="center"/>
    </xf>
    <xf numFmtId="0" fontId="17" fillId="19" borderId="36" xfId="0" applyFont="1" applyFill="1" applyBorder="1" applyAlignment="1">
      <alignment horizontal="center" vertical="center" wrapText="1"/>
    </xf>
    <xf numFmtId="0" fontId="17" fillId="19" borderId="15" xfId="0" applyFont="1" applyFill="1" applyBorder="1" applyAlignment="1">
      <alignment horizontal="center" vertical="center" wrapText="1"/>
    </xf>
    <xf numFmtId="0" fontId="17" fillId="19" borderId="32" xfId="0" applyFont="1" applyFill="1" applyBorder="1" applyAlignment="1">
      <alignment horizontal="center" vertical="center" wrapText="1"/>
    </xf>
    <xf numFmtId="0" fontId="17" fillId="19" borderId="66" xfId="0" applyFont="1" applyFill="1" applyBorder="1" applyAlignment="1">
      <alignment horizontal="center" vertical="center" wrapText="1"/>
    </xf>
    <xf numFmtId="0" fontId="17" fillId="19" borderId="40" xfId="0" applyFont="1" applyFill="1" applyBorder="1" applyAlignment="1">
      <alignment horizontal="center" vertical="center" wrapText="1"/>
    </xf>
    <xf numFmtId="0" fontId="17" fillId="19" borderId="64" xfId="0" applyFont="1" applyFill="1" applyBorder="1" applyAlignment="1">
      <alignment horizontal="center" vertical="center" wrapText="1"/>
    </xf>
    <xf numFmtId="0" fontId="17" fillId="19" borderId="38" xfId="0" applyFont="1" applyFill="1" applyBorder="1" applyAlignment="1">
      <alignment horizontal="center" vertical="center" wrapText="1"/>
    </xf>
    <xf numFmtId="0" fontId="17" fillId="19" borderId="7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/>
    </xf>
    <xf numFmtId="0" fontId="19" fillId="0" borderId="24" xfId="0" applyFont="1" applyFill="1" applyBorder="1" applyAlignment="1">
      <alignment horizontal="left"/>
    </xf>
    <xf numFmtId="0" fontId="17" fillId="18" borderId="7" xfId="0" applyFont="1" applyFill="1" applyBorder="1" applyAlignment="1">
      <alignment horizontal="center" vertical="center"/>
    </xf>
    <xf numFmtId="0" fontId="17" fillId="18" borderId="8" xfId="0" applyFont="1" applyFill="1" applyBorder="1" applyAlignment="1">
      <alignment horizontal="center" vertical="center"/>
    </xf>
    <xf numFmtId="0" fontId="17" fillId="18" borderId="50" xfId="0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17" fillId="7" borderId="32" xfId="0" applyFont="1" applyFill="1" applyBorder="1" applyAlignment="1">
      <alignment horizontal="center" vertical="center"/>
    </xf>
    <xf numFmtId="0" fontId="20" fillId="20" borderId="41" xfId="0" applyFont="1" applyFill="1" applyBorder="1" applyAlignment="1">
      <alignment horizontal="center" vertical="center"/>
    </xf>
    <xf numFmtId="0" fontId="20" fillId="20" borderId="42" xfId="0" applyFont="1" applyFill="1" applyBorder="1" applyAlignment="1">
      <alignment horizontal="center" vertical="center"/>
    </xf>
    <xf numFmtId="0" fontId="20" fillId="20" borderId="44" xfId="0" applyFont="1" applyFill="1" applyBorder="1" applyAlignment="1">
      <alignment horizontal="center" vertical="center"/>
    </xf>
    <xf numFmtId="0" fontId="17" fillId="19" borderId="23" xfId="0" applyFont="1" applyFill="1" applyBorder="1" applyAlignment="1">
      <alignment horizontal="center" vertical="center"/>
    </xf>
    <xf numFmtId="0" fontId="17" fillId="19" borderId="24" xfId="0" applyFont="1" applyFill="1" applyBorder="1" applyAlignment="1">
      <alignment horizontal="center" vertical="center"/>
    </xf>
    <xf numFmtId="0" fontId="17" fillId="19" borderId="25" xfId="0" applyFont="1" applyFill="1" applyBorder="1" applyAlignment="1">
      <alignment horizontal="center" vertical="center"/>
    </xf>
    <xf numFmtId="0" fontId="19" fillId="19" borderId="21" xfId="0" applyFont="1" applyFill="1" applyBorder="1" applyAlignment="1">
      <alignment horizontal="center" vertical="center"/>
    </xf>
    <xf numFmtId="0" fontId="17" fillId="18" borderId="6" xfId="0" applyFont="1" applyFill="1" applyBorder="1" applyAlignment="1">
      <alignment horizontal="center" vertical="center"/>
    </xf>
    <xf numFmtId="0" fontId="17" fillId="18" borderId="2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0" fontId="17" fillId="19" borderId="43" xfId="0" applyFont="1" applyFill="1" applyBorder="1" applyAlignment="1">
      <alignment horizontal="center" vertical="center"/>
    </xf>
    <xf numFmtId="0" fontId="17" fillId="19" borderId="42" xfId="0" applyFont="1" applyFill="1" applyBorder="1" applyAlignment="1">
      <alignment horizontal="center" vertical="center"/>
    </xf>
    <xf numFmtId="0" fontId="17" fillId="19" borderId="44" xfId="0" applyFont="1" applyFill="1" applyBorder="1" applyAlignment="1">
      <alignment horizontal="center" vertical="center"/>
    </xf>
    <xf numFmtId="0" fontId="17" fillId="19" borderId="5" xfId="0" applyFont="1" applyFill="1" applyBorder="1" applyAlignment="1">
      <alignment horizontal="center" vertical="center"/>
    </xf>
    <xf numFmtId="0" fontId="17" fillId="19" borderId="16" xfId="0" applyFont="1" applyFill="1" applyBorder="1" applyAlignment="1">
      <alignment horizontal="center" vertical="center"/>
    </xf>
    <xf numFmtId="0" fontId="17" fillId="19" borderId="69" xfId="0" applyFont="1" applyFill="1" applyBorder="1" applyAlignment="1">
      <alignment horizontal="center" vertical="center"/>
    </xf>
    <xf numFmtId="0" fontId="19" fillId="19" borderId="45" xfId="0" applyFont="1" applyFill="1" applyBorder="1" applyAlignment="1">
      <alignment horizontal="center" vertical="center"/>
    </xf>
    <xf numFmtId="0" fontId="17" fillId="18" borderId="46" xfId="0" applyFont="1" applyFill="1" applyBorder="1" applyAlignment="1">
      <alignment horizontal="center" vertical="center"/>
    </xf>
    <xf numFmtId="0" fontId="17" fillId="18" borderId="20" xfId="0" applyFont="1" applyFill="1" applyBorder="1" applyAlignment="1">
      <alignment horizontal="center" vertical="center"/>
    </xf>
    <xf numFmtId="0" fontId="19" fillId="19" borderId="47" xfId="0" applyFont="1" applyFill="1" applyBorder="1" applyAlignment="1">
      <alignment horizontal="center" vertical="center"/>
    </xf>
    <xf numFmtId="0" fontId="19" fillId="19" borderId="70" xfId="0" applyFont="1" applyFill="1" applyBorder="1" applyAlignment="1">
      <alignment horizontal="center" vertical="center"/>
    </xf>
    <xf numFmtId="0" fontId="19" fillId="19" borderId="26" xfId="0" applyFont="1" applyFill="1" applyBorder="1" applyAlignment="1">
      <alignment horizontal="center" vertical="center"/>
    </xf>
    <xf numFmtId="0" fontId="19" fillId="19" borderId="23" xfId="0" applyFont="1" applyFill="1" applyBorder="1" applyAlignment="1">
      <alignment horizontal="center" vertical="center"/>
    </xf>
    <xf numFmtId="0" fontId="29" fillId="28" borderId="10" xfId="0" applyFont="1" applyFill="1" applyBorder="1" applyAlignment="1">
      <alignment horizontal="center" vertical="center"/>
    </xf>
    <xf numFmtId="0" fontId="29" fillId="28" borderId="11" xfId="0" applyFont="1" applyFill="1" applyBorder="1" applyAlignment="1">
      <alignment horizontal="center" vertical="center"/>
    </xf>
    <xf numFmtId="0" fontId="29" fillId="28" borderId="12" xfId="0" applyFont="1" applyFill="1" applyBorder="1" applyAlignment="1">
      <alignment horizontal="center" vertical="center"/>
    </xf>
    <xf numFmtId="0" fontId="29" fillId="28" borderId="13" xfId="0" applyFont="1" applyFill="1" applyBorder="1" applyAlignment="1">
      <alignment horizontal="center" vertical="center"/>
    </xf>
    <xf numFmtId="0" fontId="21" fillId="25" borderId="61" xfId="0" applyFont="1" applyFill="1" applyBorder="1" applyAlignment="1">
      <alignment horizontal="center" vertical="center"/>
    </xf>
    <xf numFmtId="0" fontId="21" fillId="25" borderId="49" xfId="0" applyFont="1" applyFill="1" applyBorder="1" applyAlignment="1">
      <alignment horizontal="center" vertical="center"/>
    </xf>
    <xf numFmtId="0" fontId="21" fillId="25" borderId="52" xfId="0" applyFont="1" applyFill="1" applyBorder="1" applyAlignment="1">
      <alignment horizontal="center" vertical="center"/>
    </xf>
    <xf numFmtId="0" fontId="29" fillId="28" borderId="1" xfId="0" applyFont="1" applyFill="1" applyBorder="1" applyAlignment="1">
      <alignment horizontal="center" vertical="center"/>
    </xf>
    <xf numFmtId="0" fontId="29" fillId="28" borderId="2" xfId="0" applyFont="1" applyFill="1" applyBorder="1" applyAlignment="1">
      <alignment horizontal="center" vertical="center"/>
    </xf>
    <xf numFmtId="0" fontId="29" fillId="28" borderId="3" xfId="0" applyFont="1" applyFill="1" applyBorder="1" applyAlignment="1">
      <alignment horizontal="center" vertical="center"/>
    </xf>
    <xf numFmtId="0" fontId="21" fillId="26" borderId="44" xfId="0" applyFont="1" applyFill="1" applyBorder="1" applyAlignment="1">
      <alignment horizontal="center" vertical="center"/>
    </xf>
    <xf numFmtId="0" fontId="21" fillId="26" borderId="69" xfId="0" applyFont="1" applyFill="1" applyBorder="1" applyAlignment="1">
      <alignment horizontal="center" vertical="center"/>
    </xf>
    <xf numFmtId="0" fontId="21" fillId="25" borderId="40" xfId="0" applyFont="1" applyFill="1" applyBorder="1" applyAlignment="1">
      <alignment horizontal="center" vertical="center"/>
    </xf>
    <xf numFmtId="0" fontId="21" fillId="25" borderId="71" xfId="0" applyFont="1" applyFill="1" applyBorder="1" applyAlignment="1">
      <alignment horizontal="center" vertical="center"/>
    </xf>
    <xf numFmtId="0" fontId="17" fillId="19" borderId="41" xfId="0" applyFont="1" applyFill="1" applyBorder="1" applyAlignment="1">
      <alignment horizontal="center" vertical="center" wrapText="1"/>
    </xf>
    <xf numFmtId="0" fontId="17" fillId="19" borderId="30" xfId="0" applyFont="1" applyFill="1" applyBorder="1" applyAlignment="1">
      <alignment horizontal="center" vertical="center" wrapText="1"/>
    </xf>
    <xf numFmtId="0" fontId="18" fillId="19" borderId="21" xfId="0" applyFont="1" applyFill="1" applyBorder="1" applyAlignment="1">
      <alignment horizontal="center" vertical="center"/>
    </xf>
    <xf numFmtId="0" fontId="22" fillId="26" borderId="9" xfId="0" applyFont="1" applyFill="1" applyBorder="1" applyAlignment="1">
      <alignment horizontal="center" vertical="center"/>
    </xf>
    <xf numFmtId="0" fontId="22" fillId="26" borderId="6" xfId="0" applyFont="1" applyFill="1" applyBorder="1" applyAlignment="1">
      <alignment horizontal="center" vertical="center"/>
    </xf>
    <xf numFmtId="0" fontId="21" fillId="25" borderId="57" xfId="0" applyFont="1" applyFill="1" applyBorder="1" applyAlignment="1">
      <alignment horizontal="center" vertical="center"/>
    </xf>
    <xf numFmtId="0" fontId="21" fillId="25" borderId="8" xfId="0" applyFont="1" applyFill="1" applyBorder="1" applyAlignment="1">
      <alignment horizontal="center" vertical="center"/>
    </xf>
    <xf numFmtId="0" fontId="21" fillId="25" borderId="9" xfId="0" applyFont="1" applyFill="1" applyBorder="1" applyAlignment="1">
      <alignment horizontal="center" vertical="center"/>
    </xf>
    <xf numFmtId="0" fontId="21" fillId="25" borderId="8" xfId="0" applyFont="1" applyFill="1" applyBorder="1" applyAlignment="1">
      <alignment horizontal="center" vertical="center" wrapText="1"/>
    </xf>
    <xf numFmtId="0" fontId="21" fillId="25" borderId="9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20" borderId="6" xfId="0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 wrapText="1"/>
    </xf>
    <xf numFmtId="3" fontId="30" fillId="0" borderId="14" xfId="0" applyNumberFormat="1" applyFont="1" applyBorder="1" applyAlignment="1">
      <alignment horizontal="center" vertical="center" wrapText="1"/>
    </xf>
    <xf numFmtId="3" fontId="30" fillId="0" borderId="15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0" fontId="31" fillId="20" borderId="3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3" fontId="30" fillId="5" borderId="19" xfId="0" applyNumberFormat="1" applyFont="1" applyFill="1" applyBorder="1" applyAlignment="1">
      <alignment horizontal="center" vertical="center" wrapText="1"/>
    </xf>
    <xf numFmtId="3" fontId="30" fillId="5" borderId="39" xfId="0" applyNumberFormat="1" applyFont="1" applyFill="1" applyBorder="1" applyAlignment="1">
      <alignment horizontal="center" vertical="center" wrapText="1"/>
    </xf>
    <xf numFmtId="3" fontId="30" fillId="5" borderId="34" xfId="0" applyNumberFormat="1" applyFont="1" applyFill="1" applyBorder="1" applyAlignment="1">
      <alignment horizontal="center" vertical="center" wrapText="1"/>
    </xf>
    <xf numFmtId="2" fontId="30" fillId="0" borderId="14" xfId="0" applyNumberFormat="1" applyFont="1" applyBorder="1" applyAlignment="1">
      <alignment horizontal="center" vertical="center" wrapText="1"/>
    </xf>
    <xf numFmtId="2" fontId="30" fillId="0" borderId="15" xfId="0" applyNumberFormat="1" applyFont="1" applyBorder="1" applyAlignment="1">
      <alignment horizontal="center" vertical="center" wrapText="1"/>
    </xf>
    <xf numFmtId="2" fontId="30" fillId="0" borderId="4" xfId="0" applyNumberFormat="1" applyFont="1" applyBorder="1" applyAlignment="1">
      <alignment horizontal="center" vertical="center" wrapText="1"/>
    </xf>
    <xf numFmtId="3" fontId="30" fillId="0" borderId="37" xfId="0" applyNumberFormat="1" applyFont="1" applyBorder="1" applyAlignment="1">
      <alignment horizontal="center" vertical="center" wrapText="1"/>
    </xf>
    <xf numFmtId="164" fontId="33" fillId="0" borderId="14" xfId="0" applyNumberFormat="1" applyFont="1" applyBorder="1" applyAlignment="1">
      <alignment horizontal="center" vertical="center" wrapText="1"/>
    </xf>
    <xf numFmtId="164" fontId="33" fillId="0" borderId="15" xfId="0" applyNumberFormat="1" applyFont="1" applyBorder="1" applyAlignment="1">
      <alignment horizontal="center" vertical="center" wrapText="1"/>
    </xf>
    <xf numFmtId="164" fontId="33" fillId="0" borderId="4" xfId="0" applyNumberFormat="1" applyFont="1" applyBorder="1" applyAlignment="1">
      <alignment horizontal="center" vertical="center" wrapText="1"/>
    </xf>
    <xf numFmtId="1" fontId="33" fillId="0" borderId="14" xfId="0" applyNumberFormat="1" applyFont="1" applyBorder="1" applyAlignment="1">
      <alignment horizontal="center" vertical="center" wrapText="1"/>
    </xf>
    <xf numFmtId="1" fontId="33" fillId="0" borderId="15" xfId="0" applyNumberFormat="1" applyFont="1" applyBorder="1" applyAlignment="1">
      <alignment horizontal="center" vertical="center" wrapText="1"/>
    </xf>
    <xf numFmtId="1" fontId="33" fillId="0" borderId="4" xfId="0" applyNumberFormat="1" applyFont="1" applyBorder="1" applyAlignment="1">
      <alignment horizontal="center" vertical="center" wrapText="1"/>
    </xf>
    <xf numFmtId="3" fontId="30" fillId="5" borderId="14" xfId="0" applyNumberFormat="1" applyFont="1" applyFill="1" applyBorder="1" applyAlignment="1">
      <alignment horizontal="center" vertical="center" wrapText="1"/>
    </xf>
    <xf numFmtId="3" fontId="30" fillId="5" borderId="15" xfId="0" applyNumberFormat="1" applyFont="1" applyFill="1" applyBorder="1" applyAlignment="1">
      <alignment horizontal="center" vertical="center" wrapText="1"/>
    </xf>
    <xf numFmtId="3" fontId="30" fillId="5" borderId="4" xfId="0" applyNumberFormat="1" applyFont="1" applyFill="1" applyBorder="1" applyAlignment="1">
      <alignment horizontal="center" vertical="center" wrapText="1"/>
    </xf>
    <xf numFmtId="2" fontId="30" fillId="5" borderId="14" xfId="0" applyNumberFormat="1" applyFont="1" applyFill="1" applyBorder="1" applyAlignment="1">
      <alignment horizontal="center" vertical="center" wrapText="1"/>
    </xf>
    <xf numFmtId="2" fontId="30" fillId="5" borderId="15" xfId="0" applyNumberFormat="1" applyFont="1" applyFill="1" applyBorder="1" applyAlignment="1">
      <alignment horizontal="center" vertical="center" wrapText="1"/>
    </xf>
    <xf numFmtId="2" fontId="30" fillId="5" borderId="4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wrapText="1"/>
    </xf>
    <xf numFmtId="3" fontId="30" fillId="17" borderId="14" xfId="0" applyNumberFormat="1" applyFont="1" applyFill="1" applyBorder="1" applyAlignment="1">
      <alignment horizontal="center" vertical="center" wrapText="1"/>
    </xf>
    <xf numFmtId="3" fontId="30" fillId="17" borderId="15" xfId="0" applyNumberFormat="1" applyFont="1" applyFill="1" applyBorder="1" applyAlignment="1">
      <alignment horizontal="center" vertical="center" wrapText="1"/>
    </xf>
    <xf numFmtId="3" fontId="30" fillId="17" borderId="4" xfId="0" applyNumberFormat="1" applyFont="1" applyFill="1" applyBorder="1" applyAlignment="1">
      <alignment horizontal="center" vertical="center" wrapText="1"/>
    </xf>
    <xf numFmtId="2" fontId="30" fillId="17" borderId="14" xfId="0" applyNumberFormat="1" applyFont="1" applyFill="1" applyBorder="1" applyAlignment="1">
      <alignment horizontal="center" vertical="center" wrapText="1"/>
    </xf>
    <xf numFmtId="2" fontId="30" fillId="17" borderId="15" xfId="0" applyNumberFormat="1" applyFont="1" applyFill="1" applyBorder="1" applyAlignment="1">
      <alignment horizontal="center" vertical="center" wrapText="1"/>
    </xf>
    <xf numFmtId="2" fontId="30" fillId="17" borderId="4" xfId="0" applyNumberFormat="1" applyFont="1" applyFill="1" applyBorder="1" applyAlignment="1">
      <alignment horizontal="center" vertical="center" wrapText="1"/>
    </xf>
    <xf numFmtId="3" fontId="34" fillId="17" borderId="14" xfId="0" applyNumberFormat="1" applyFont="1" applyFill="1" applyBorder="1" applyAlignment="1">
      <alignment horizontal="center" vertical="center" wrapText="1"/>
    </xf>
    <xf numFmtId="3" fontId="34" fillId="17" borderId="15" xfId="0" applyNumberFormat="1" applyFont="1" applyFill="1" applyBorder="1" applyAlignment="1">
      <alignment horizontal="center" vertical="center" wrapText="1"/>
    </xf>
    <xf numFmtId="3" fontId="34" fillId="17" borderId="4" xfId="0" applyNumberFormat="1" applyFont="1" applyFill="1" applyBorder="1" applyAlignment="1">
      <alignment horizontal="center" vertical="center" wrapText="1"/>
    </xf>
    <xf numFmtId="3" fontId="30" fillId="17" borderId="19" xfId="0" applyNumberFormat="1" applyFont="1" applyFill="1" applyBorder="1" applyAlignment="1">
      <alignment horizontal="center" vertical="center" wrapText="1"/>
    </xf>
    <xf numFmtId="3" fontId="30" fillId="17" borderId="39" xfId="0" applyNumberFormat="1" applyFont="1" applyFill="1" applyBorder="1" applyAlignment="1">
      <alignment horizontal="center" vertical="center" wrapText="1"/>
    </xf>
    <xf numFmtId="3" fontId="30" fillId="17" borderId="34" xfId="0" applyNumberFormat="1" applyFont="1" applyFill="1" applyBorder="1" applyAlignment="1">
      <alignment horizontal="center" vertical="center" wrapText="1"/>
    </xf>
    <xf numFmtId="3" fontId="34" fillId="0" borderId="14" xfId="0" applyNumberFormat="1" applyFont="1" applyFill="1" applyBorder="1" applyAlignment="1">
      <alignment horizontal="center" vertical="center" wrapText="1"/>
    </xf>
    <xf numFmtId="3" fontId="34" fillId="0" borderId="15" xfId="0" applyNumberFormat="1" applyFont="1" applyFill="1" applyBorder="1" applyAlignment="1">
      <alignment horizontal="center" vertical="center" wrapText="1"/>
    </xf>
    <xf numFmtId="3" fontId="34" fillId="0" borderId="4" xfId="0" applyNumberFormat="1" applyFont="1" applyFill="1" applyBorder="1" applyAlignment="1">
      <alignment horizontal="center" vertical="center" wrapText="1"/>
    </xf>
    <xf numFmtId="3" fontId="30" fillId="0" borderId="14" xfId="0" applyNumberFormat="1" applyFont="1" applyFill="1" applyBorder="1" applyAlignment="1">
      <alignment horizontal="center" vertical="center" wrapText="1"/>
    </xf>
    <xf numFmtId="3" fontId="30" fillId="0" borderId="15" xfId="0" applyNumberFormat="1" applyFont="1" applyFill="1" applyBorder="1" applyAlignment="1">
      <alignment horizontal="center" vertical="center" wrapText="1"/>
    </xf>
    <xf numFmtId="3" fontId="30" fillId="0" borderId="4" xfId="0" applyNumberFormat="1" applyFont="1" applyFill="1" applyBorder="1" applyAlignment="1">
      <alignment horizontal="center" vertical="center" wrapText="1"/>
    </xf>
    <xf numFmtId="3" fontId="30" fillId="0" borderId="19" xfId="0" applyNumberFormat="1" applyFont="1" applyFill="1" applyBorder="1" applyAlignment="1">
      <alignment horizontal="center" vertical="center" wrapText="1"/>
    </xf>
    <xf numFmtId="3" fontId="30" fillId="0" borderId="39" xfId="0" applyNumberFormat="1" applyFont="1" applyFill="1" applyBorder="1" applyAlignment="1">
      <alignment horizontal="center" vertical="center" wrapText="1"/>
    </xf>
    <xf numFmtId="3" fontId="30" fillId="0" borderId="34" xfId="0" applyNumberFormat="1" applyFont="1" applyFill="1" applyBorder="1" applyAlignment="1">
      <alignment horizontal="center" vertical="center" wrapText="1"/>
    </xf>
    <xf numFmtId="2" fontId="30" fillId="0" borderId="14" xfId="0" applyNumberFormat="1" applyFont="1" applyFill="1" applyBorder="1" applyAlignment="1">
      <alignment horizontal="center" vertical="center" wrapText="1"/>
    </xf>
    <xf numFmtId="2" fontId="30" fillId="0" borderId="15" xfId="0" applyNumberFormat="1" applyFont="1" applyFill="1" applyBorder="1" applyAlignment="1">
      <alignment horizontal="center" vertical="center" wrapText="1"/>
    </xf>
    <xf numFmtId="2" fontId="30" fillId="0" borderId="4" xfId="0" applyNumberFormat="1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0" fontId="17" fillId="2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3" fontId="34" fillId="0" borderId="37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7" fillId="5" borderId="19" xfId="0" applyNumberFormat="1" applyFont="1" applyFill="1" applyBorder="1" applyAlignment="1">
      <alignment horizontal="center" vertical="center" wrapText="1"/>
    </xf>
    <xf numFmtId="3" fontId="17" fillId="5" borderId="39" xfId="0" applyNumberFormat="1" applyFont="1" applyFill="1" applyBorder="1" applyAlignment="1">
      <alignment horizontal="center" vertical="center" wrapText="1"/>
    </xf>
    <xf numFmtId="3" fontId="17" fillId="5" borderId="34" xfId="0" applyNumberFormat="1" applyFont="1" applyFill="1" applyBorder="1" applyAlignment="1">
      <alignment horizontal="center" vertical="center" wrapText="1"/>
    </xf>
    <xf numFmtId="3" fontId="17" fillId="0" borderId="14" xfId="0" applyNumberFormat="1" applyFont="1" applyFill="1" applyBorder="1" applyAlignment="1">
      <alignment horizontal="center" vertical="center" wrapText="1"/>
    </xf>
    <xf numFmtId="3" fontId="17" fillId="0" borderId="15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2" fontId="17" fillId="0" borderId="14" xfId="0" applyNumberFormat="1" applyFont="1" applyFill="1" applyBorder="1" applyAlignment="1">
      <alignment horizontal="center" vertical="center" wrapText="1"/>
    </xf>
    <xf numFmtId="2" fontId="17" fillId="0" borderId="15" xfId="0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1" fontId="17" fillId="0" borderId="14" xfId="0" applyNumberFormat="1" applyFont="1" applyFill="1" applyBorder="1" applyAlignment="1">
      <alignment horizontal="center" vertical="center" wrapText="1"/>
    </xf>
    <xf numFmtId="1" fontId="17" fillId="0" borderId="15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3" fontId="17" fillId="0" borderId="37" xfId="0" applyNumberFormat="1" applyFont="1" applyFill="1" applyBorder="1" applyAlignment="1">
      <alignment horizontal="center" vertical="center" wrapText="1"/>
    </xf>
    <xf numFmtId="3" fontId="17" fillId="0" borderId="19" xfId="0" applyNumberFormat="1" applyFont="1" applyFill="1" applyBorder="1" applyAlignment="1">
      <alignment horizontal="center" vertical="center" wrapText="1"/>
    </xf>
    <xf numFmtId="3" fontId="17" fillId="0" borderId="39" xfId="0" applyNumberFormat="1" applyFont="1" applyFill="1" applyBorder="1" applyAlignment="1">
      <alignment horizontal="center" vertical="center" wrapText="1"/>
    </xf>
    <xf numFmtId="3" fontId="17" fillId="0" borderId="34" xfId="0" applyNumberFormat="1" applyFont="1" applyFill="1" applyBorder="1" applyAlignment="1">
      <alignment horizontal="center" vertical="center" wrapText="1"/>
    </xf>
    <xf numFmtId="3" fontId="17" fillId="17" borderId="14" xfId="0" applyNumberFormat="1" applyFont="1" applyFill="1" applyBorder="1" applyAlignment="1">
      <alignment horizontal="center" vertical="center" wrapText="1"/>
    </xf>
    <xf numFmtId="3" fontId="17" fillId="17" borderId="15" xfId="0" applyNumberFormat="1" applyFont="1" applyFill="1" applyBorder="1" applyAlignment="1">
      <alignment horizontal="center" vertical="center" wrapText="1"/>
    </xf>
    <xf numFmtId="3" fontId="17" fillId="17" borderId="4" xfId="0" applyNumberFormat="1" applyFont="1" applyFill="1" applyBorder="1" applyAlignment="1">
      <alignment horizontal="center" vertical="center" wrapText="1"/>
    </xf>
    <xf numFmtId="3" fontId="17" fillId="17" borderId="19" xfId="0" applyNumberFormat="1" applyFont="1" applyFill="1" applyBorder="1" applyAlignment="1">
      <alignment horizontal="center" vertical="center" wrapText="1"/>
    </xf>
    <xf numFmtId="3" fontId="17" fillId="17" borderId="39" xfId="0" applyNumberFormat="1" applyFont="1" applyFill="1" applyBorder="1" applyAlignment="1">
      <alignment horizontal="center" vertical="center" wrapText="1"/>
    </xf>
    <xf numFmtId="3" fontId="17" fillId="17" borderId="34" xfId="0" applyNumberFormat="1" applyFont="1" applyFill="1" applyBorder="1" applyAlignment="1">
      <alignment horizontal="center" vertical="center" wrapText="1"/>
    </xf>
    <xf numFmtId="2" fontId="17" fillId="17" borderId="14" xfId="0" applyNumberFormat="1" applyFont="1" applyFill="1" applyBorder="1" applyAlignment="1">
      <alignment horizontal="center" vertical="center" wrapText="1"/>
    </xf>
    <xf numFmtId="2" fontId="17" fillId="17" borderId="15" xfId="0" applyNumberFormat="1" applyFont="1" applyFill="1" applyBorder="1" applyAlignment="1">
      <alignment horizontal="center" vertical="center" wrapText="1"/>
    </xf>
    <xf numFmtId="2" fontId="17" fillId="17" borderId="4" xfId="0" applyNumberFormat="1" applyFont="1" applyFill="1" applyBorder="1" applyAlignment="1">
      <alignment horizontal="center" vertical="center" wrapText="1"/>
    </xf>
    <xf numFmtId="3" fontId="17" fillId="17" borderId="37" xfId="0" applyNumberFormat="1" applyFont="1" applyFill="1" applyBorder="1" applyAlignment="1">
      <alignment horizontal="center" vertical="center" wrapText="1"/>
    </xf>
    <xf numFmtId="3" fontId="34" fillId="17" borderId="6" xfId="0" applyNumberFormat="1" applyFont="1" applyFill="1" applyBorder="1" applyAlignment="1">
      <alignment horizontal="center" vertical="center" wrapText="1"/>
    </xf>
    <xf numFmtId="3" fontId="30" fillId="17" borderId="0" xfId="0" applyNumberFormat="1" applyFont="1" applyFill="1" applyBorder="1" applyAlignment="1">
      <alignment horizontal="center" vertical="center" wrapText="1"/>
    </xf>
    <xf numFmtId="3" fontId="30" fillId="17" borderId="41" xfId="0" applyNumberFormat="1" applyFont="1" applyFill="1" applyBorder="1" applyAlignment="1">
      <alignment horizontal="center" vertical="center" wrapText="1"/>
    </xf>
    <xf numFmtId="3" fontId="30" fillId="17" borderId="30" xfId="0" applyNumberFormat="1" applyFont="1" applyFill="1" applyBorder="1" applyAlignment="1">
      <alignment horizontal="center" vertical="center" wrapText="1"/>
    </xf>
    <xf numFmtId="3" fontId="30" fillId="17" borderId="9" xfId="0" applyNumberFormat="1" applyFont="1" applyFill="1" applyBorder="1" applyAlignment="1">
      <alignment horizontal="center" vertical="center" wrapText="1"/>
    </xf>
    <xf numFmtId="3" fontId="30" fillId="17" borderId="6" xfId="0" applyNumberFormat="1" applyFont="1" applyFill="1" applyBorder="1" applyAlignment="1">
      <alignment horizontal="center" vertical="center" wrapText="1"/>
    </xf>
    <xf numFmtId="2" fontId="30" fillId="17" borderId="6" xfId="0" applyNumberFormat="1" applyFont="1" applyFill="1" applyBorder="1" applyAlignment="1">
      <alignment horizontal="center" vertical="center" wrapText="1"/>
    </xf>
    <xf numFmtId="3" fontId="34" fillId="17" borderId="66" xfId="0" applyNumberFormat="1" applyFont="1" applyFill="1" applyBorder="1" applyAlignment="1">
      <alignment horizontal="center" vertical="center" wrapText="1"/>
    </xf>
    <xf numFmtId="3" fontId="30" fillId="17" borderId="59" xfId="0" applyNumberFormat="1" applyFont="1" applyFill="1" applyBorder="1" applyAlignment="1">
      <alignment horizontal="center" vertical="center" wrapText="1"/>
    </xf>
    <xf numFmtId="2" fontId="30" fillId="17" borderId="54" xfId="0" applyNumberFormat="1" applyFont="1" applyFill="1" applyBorder="1" applyAlignment="1">
      <alignment horizontal="center" vertical="center" wrapText="1"/>
    </xf>
    <xf numFmtId="3" fontId="34" fillId="17" borderId="55" xfId="0" applyNumberFormat="1" applyFont="1" applyFill="1" applyBorder="1" applyAlignment="1">
      <alignment horizontal="center" vertical="center" wrapText="1"/>
    </xf>
    <xf numFmtId="3" fontId="16" fillId="0" borderId="42" xfId="0" applyNumberFormat="1" applyFont="1" applyFill="1" applyBorder="1" applyAlignment="1">
      <alignment horizontal="center" vertical="center" wrapText="1"/>
    </xf>
    <xf numFmtId="3" fontId="30" fillId="17" borderId="33" xfId="0" applyNumberFormat="1" applyFont="1" applyFill="1" applyBorder="1" applyAlignment="1">
      <alignment horizontal="center" vertical="center" wrapText="1"/>
    </xf>
    <xf numFmtId="3" fontId="30" fillId="17" borderId="66" xfId="0" applyNumberFormat="1" applyFont="1" applyFill="1" applyBorder="1" applyAlignment="1">
      <alignment horizontal="center" vertical="center" wrapText="1"/>
    </xf>
    <xf numFmtId="3" fontId="30" fillId="17" borderId="55" xfId="0" applyNumberFormat="1" applyFont="1" applyFill="1" applyBorder="1" applyAlignment="1">
      <alignment horizontal="center" vertical="center" wrapText="1"/>
    </xf>
    <xf numFmtId="1" fontId="30" fillId="0" borderId="14" xfId="0" applyNumberFormat="1" applyFont="1" applyFill="1" applyBorder="1" applyAlignment="1">
      <alignment horizontal="center" vertical="center" wrapText="1"/>
    </xf>
    <xf numFmtId="1" fontId="30" fillId="0" borderId="15" xfId="0" applyNumberFormat="1" applyFont="1" applyFill="1" applyBorder="1" applyAlignment="1">
      <alignment horizontal="center" vertical="center" wrapText="1"/>
    </xf>
    <xf numFmtId="1" fontId="30" fillId="0" borderId="4" xfId="0" applyNumberFormat="1" applyFont="1" applyFill="1" applyBorder="1" applyAlignment="1">
      <alignment horizontal="center" vertical="center" wrapText="1"/>
    </xf>
    <xf numFmtId="3" fontId="30" fillId="0" borderId="37" xfId="0" applyNumberFormat="1" applyFont="1" applyFill="1" applyBorder="1" applyAlignment="1">
      <alignment horizontal="center" vertical="center" wrapText="1"/>
    </xf>
    <xf numFmtId="164" fontId="30" fillId="0" borderId="14" xfId="0" applyNumberFormat="1" applyFont="1" applyFill="1" applyBorder="1" applyAlignment="1">
      <alignment horizontal="center" vertical="center" wrapText="1"/>
    </xf>
    <xf numFmtId="164" fontId="30" fillId="0" borderId="15" xfId="0" applyNumberFormat="1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>
      <alignment horizontal="center" vertical="center" wrapText="1"/>
    </xf>
    <xf numFmtId="164" fontId="30" fillId="17" borderId="14" xfId="0" applyNumberFormat="1" applyFont="1" applyFill="1" applyBorder="1" applyAlignment="1">
      <alignment horizontal="center" vertical="center" wrapText="1"/>
    </xf>
    <xf numFmtId="164" fontId="30" fillId="17" borderId="15" xfId="0" applyNumberFormat="1" applyFont="1" applyFill="1" applyBorder="1" applyAlignment="1">
      <alignment horizontal="center" vertical="center" wrapText="1"/>
    </xf>
    <xf numFmtId="164" fontId="30" fillId="17" borderId="4" xfId="0" applyNumberFormat="1" applyFont="1" applyFill="1" applyBorder="1" applyAlignment="1">
      <alignment horizontal="center" vertical="center" wrapText="1"/>
    </xf>
    <xf numFmtId="3" fontId="16" fillId="0" borderId="42" xfId="0" applyNumberFormat="1" applyFont="1" applyFill="1" applyBorder="1" applyAlignment="1">
      <alignment horizont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20" borderId="7" xfId="0" applyFont="1" applyFill="1" applyBorder="1" applyAlignment="1">
      <alignment horizontal="center" vertical="center"/>
    </xf>
    <xf numFmtId="0" fontId="20" fillId="20" borderId="8" xfId="0" applyFont="1" applyFill="1" applyBorder="1" applyAlignment="1">
      <alignment horizontal="center" vertical="center"/>
    </xf>
    <xf numFmtId="0" fontId="20" fillId="20" borderId="9" xfId="0" applyFont="1" applyFill="1" applyBorder="1" applyAlignment="1">
      <alignment horizontal="center" vertical="center"/>
    </xf>
    <xf numFmtId="168" fontId="7" fillId="23" borderId="14" xfId="0" applyNumberFormat="1" applyFont="1" applyFill="1" applyBorder="1" applyAlignment="1">
      <alignment horizontal="center" vertical="center" wrapText="1"/>
    </xf>
    <xf numFmtId="168" fontId="7" fillId="2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70B0"/>
      <color rgb="FFFC5E3E"/>
      <color rgb="FFFB4C29"/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/>
              <a:t>Estimated Total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289829789240417E-2"/>
          <c:y val="0.1080352825310589"/>
          <c:w val="0.86574745522079199"/>
          <c:h val="0.7563238058355301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'Forecast Graphs'!$C$1:$C$2</c:f>
              <c:strCache>
                <c:ptCount val="2"/>
                <c:pt idx="0">
                  <c:v>China</c:v>
                </c:pt>
                <c:pt idx="1">
                  <c:v>Total Cases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'Forecast Graphs'!$A$3:$A$18</c:f>
              <c:numCache>
                <c:formatCode>[$-409]d\-mmm;@</c:formatCode>
                <c:ptCount val="16"/>
                <c:pt idx="0">
                  <c:v>43839</c:v>
                </c:pt>
                <c:pt idx="1">
                  <c:v>43849</c:v>
                </c:pt>
                <c:pt idx="2">
                  <c:v>43859</c:v>
                </c:pt>
                <c:pt idx="3">
                  <c:v>43869</c:v>
                </c:pt>
                <c:pt idx="4">
                  <c:v>43879</c:v>
                </c:pt>
                <c:pt idx="5">
                  <c:v>43889</c:v>
                </c:pt>
                <c:pt idx="6">
                  <c:v>43899</c:v>
                </c:pt>
                <c:pt idx="7">
                  <c:v>43909</c:v>
                </c:pt>
                <c:pt idx="8">
                  <c:v>43919</c:v>
                </c:pt>
                <c:pt idx="9">
                  <c:v>43929</c:v>
                </c:pt>
                <c:pt idx="10">
                  <c:v>43939</c:v>
                </c:pt>
                <c:pt idx="11">
                  <c:v>43949</c:v>
                </c:pt>
                <c:pt idx="12">
                  <c:v>43959</c:v>
                </c:pt>
                <c:pt idx="13">
                  <c:v>43969</c:v>
                </c:pt>
                <c:pt idx="14">
                  <c:v>43979</c:v>
                </c:pt>
                <c:pt idx="15">
                  <c:v>43989</c:v>
                </c:pt>
              </c:numCache>
            </c:numRef>
          </c:xVal>
          <c:yVal>
            <c:numRef>
              <c:f>'Forecast Graphs'!$C$3:$C$18</c:f>
              <c:numCache>
                <c:formatCode>General</c:formatCode>
                <c:ptCount val="16"/>
                <c:pt idx="0">
                  <c:v>45</c:v>
                </c:pt>
                <c:pt idx="1">
                  <c:v>198</c:v>
                </c:pt>
                <c:pt idx="2">
                  <c:v>7711</c:v>
                </c:pt>
                <c:pt idx="3">
                  <c:v>37198</c:v>
                </c:pt>
                <c:pt idx="4">
                  <c:v>77658</c:v>
                </c:pt>
                <c:pt idx="5" formatCode="#,##0">
                  <c:v>82724</c:v>
                </c:pt>
                <c:pt idx="6" formatCode="#,##0">
                  <c:v>84227</c:v>
                </c:pt>
                <c:pt idx="7" formatCode="#,##0">
                  <c:v>84440</c:v>
                </c:pt>
                <c:pt idx="8" formatCode="#,##0">
                  <c:v>84964.444444444438</c:v>
                </c:pt>
                <c:pt idx="9" formatCode="#,##0">
                  <c:v>84964.444444444438</c:v>
                </c:pt>
                <c:pt idx="10" formatCode="#,##0">
                  <c:v>84964.444444444438</c:v>
                </c:pt>
                <c:pt idx="11" formatCode="#,##0">
                  <c:v>84964.444444444438</c:v>
                </c:pt>
                <c:pt idx="12" formatCode="#,##0">
                  <c:v>84964.444444444438</c:v>
                </c:pt>
                <c:pt idx="13" formatCode="#,##0">
                  <c:v>84964.444444444438</c:v>
                </c:pt>
                <c:pt idx="14" formatCode="#,##0">
                  <c:v>84964.444444444438</c:v>
                </c:pt>
                <c:pt idx="15" formatCode="#,##0">
                  <c:v>84964.444444444438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A5-4254-8434-D88DC2CC8E06}"/>
            </c:ext>
          </c:extLst>
        </c:ser>
        <c:ser>
          <c:idx val="1"/>
          <c:order val="1"/>
          <c:tx>
            <c:strRef>
              <c:f>'Forecast Graphs'!$E$1:$E$2</c:f>
              <c:strCache>
                <c:ptCount val="2"/>
                <c:pt idx="0">
                  <c:v>Italy</c:v>
                </c:pt>
                <c:pt idx="1">
                  <c:v>Total Cases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'Forecast Graphs'!$A$3:$A$18</c:f>
              <c:numCache>
                <c:formatCode>[$-409]d\-mmm;@</c:formatCode>
                <c:ptCount val="16"/>
                <c:pt idx="0">
                  <c:v>43839</c:v>
                </c:pt>
                <c:pt idx="1">
                  <c:v>43849</c:v>
                </c:pt>
                <c:pt idx="2">
                  <c:v>43859</c:v>
                </c:pt>
                <c:pt idx="3">
                  <c:v>43869</c:v>
                </c:pt>
                <c:pt idx="4">
                  <c:v>43879</c:v>
                </c:pt>
                <c:pt idx="5">
                  <c:v>43889</c:v>
                </c:pt>
                <c:pt idx="6">
                  <c:v>43899</c:v>
                </c:pt>
                <c:pt idx="7">
                  <c:v>43909</c:v>
                </c:pt>
                <c:pt idx="8">
                  <c:v>43919</c:v>
                </c:pt>
                <c:pt idx="9">
                  <c:v>43929</c:v>
                </c:pt>
                <c:pt idx="10">
                  <c:v>43939</c:v>
                </c:pt>
                <c:pt idx="11">
                  <c:v>43949</c:v>
                </c:pt>
                <c:pt idx="12">
                  <c:v>43959</c:v>
                </c:pt>
                <c:pt idx="13">
                  <c:v>43969</c:v>
                </c:pt>
                <c:pt idx="14">
                  <c:v>43979</c:v>
                </c:pt>
                <c:pt idx="15">
                  <c:v>43989</c:v>
                </c:pt>
              </c:numCache>
            </c:numRef>
          </c:xVal>
          <c:yVal>
            <c:numRef>
              <c:f>'Forecast Graphs'!$E$3:$E$18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A5-4254-8434-D88DC2CC8E06}"/>
            </c:ext>
          </c:extLst>
        </c:ser>
        <c:ser>
          <c:idx val="2"/>
          <c:order val="2"/>
          <c:tx>
            <c:strRef>
              <c:f>'Forecast Graphs'!$G$1:$G$2</c:f>
              <c:strCache>
                <c:ptCount val="2"/>
                <c:pt idx="0">
                  <c:v>Germany</c:v>
                </c:pt>
                <c:pt idx="1">
                  <c:v>Total Cases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'Forecast Graphs'!$A$3:$A$18</c:f>
              <c:numCache>
                <c:formatCode>[$-409]d\-mmm;@</c:formatCode>
                <c:ptCount val="16"/>
                <c:pt idx="0">
                  <c:v>43839</c:v>
                </c:pt>
                <c:pt idx="1">
                  <c:v>43849</c:v>
                </c:pt>
                <c:pt idx="2">
                  <c:v>43859</c:v>
                </c:pt>
                <c:pt idx="3">
                  <c:v>43869</c:v>
                </c:pt>
                <c:pt idx="4">
                  <c:v>43879</c:v>
                </c:pt>
                <c:pt idx="5">
                  <c:v>43889</c:v>
                </c:pt>
                <c:pt idx="6">
                  <c:v>43899</c:v>
                </c:pt>
                <c:pt idx="7">
                  <c:v>43909</c:v>
                </c:pt>
                <c:pt idx="8">
                  <c:v>43919</c:v>
                </c:pt>
                <c:pt idx="9">
                  <c:v>43929</c:v>
                </c:pt>
                <c:pt idx="10">
                  <c:v>43939</c:v>
                </c:pt>
                <c:pt idx="11">
                  <c:v>43949</c:v>
                </c:pt>
                <c:pt idx="12">
                  <c:v>43959</c:v>
                </c:pt>
                <c:pt idx="13">
                  <c:v>43969</c:v>
                </c:pt>
                <c:pt idx="14">
                  <c:v>43979</c:v>
                </c:pt>
                <c:pt idx="15">
                  <c:v>43989</c:v>
                </c:pt>
              </c:numCache>
            </c:numRef>
          </c:xVal>
          <c:yVal>
            <c:numRef>
              <c:f>'Forecast Graphs'!$G$3:$G$18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16</c:v>
                </c:pt>
                <c:pt idx="6" formatCode="#,##0">
                  <c:v>544.99999999999989</c:v>
                </c:pt>
                <c:pt idx="7" formatCode="#,##0">
                  <c:v>3837.5</c:v>
                </c:pt>
                <c:pt idx="8" formatCode="#,##0">
                  <c:v>35347.5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A5-4254-8434-D88DC2CC8E06}"/>
            </c:ext>
          </c:extLst>
        </c:ser>
        <c:ser>
          <c:idx val="3"/>
          <c:order val="3"/>
          <c:tx>
            <c:strRef>
              <c:f>'Forecast Graphs'!$I$1:$I$2</c:f>
              <c:strCache>
                <c:ptCount val="2"/>
                <c:pt idx="0">
                  <c:v>Spain</c:v>
                </c:pt>
                <c:pt idx="1">
                  <c:v>Total Cases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'Forecast Graphs'!$A$3:$A$18</c:f>
              <c:numCache>
                <c:formatCode>[$-409]d\-mmm;@</c:formatCode>
                <c:ptCount val="16"/>
                <c:pt idx="0">
                  <c:v>43839</c:v>
                </c:pt>
                <c:pt idx="1">
                  <c:v>43849</c:v>
                </c:pt>
                <c:pt idx="2">
                  <c:v>43859</c:v>
                </c:pt>
                <c:pt idx="3">
                  <c:v>43869</c:v>
                </c:pt>
                <c:pt idx="4">
                  <c:v>43879</c:v>
                </c:pt>
                <c:pt idx="5">
                  <c:v>43889</c:v>
                </c:pt>
                <c:pt idx="6">
                  <c:v>43899</c:v>
                </c:pt>
                <c:pt idx="7">
                  <c:v>43909</c:v>
                </c:pt>
                <c:pt idx="8">
                  <c:v>43919</c:v>
                </c:pt>
                <c:pt idx="9">
                  <c:v>43929</c:v>
                </c:pt>
                <c:pt idx="10">
                  <c:v>43939</c:v>
                </c:pt>
                <c:pt idx="11">
                  <c:v>43949</c:v>
                </c:pt>
                <c:pt idx="12">
                  <c:v>43959</c:v>
                </c:pt>
                <c:pt idx="13">
                  <c:v>43969</c:v>
                </c:pt>
                <c:pt idx="14">
                  <c:v>43979</c:v>
                </c:pt>
                <c:pt idx="15">
                  <c:v>43989</c:v>
                </c:pt>
              </c:numCache>
            </c:numRef>
          </c:xVal>
          <c:yVal>
            <c:numRef>
              <c:f>'Forecast Graphs'!$I$3:$I$18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2.9999999999999996</c:v>
                </c:pt>
                <c:pt idx="6" formatCode="#,##0">
                  <c:v>282</c:v>
                </c:pt>
                <c:pt idx="7" formatCode="#,##0">
                  <c:v>5098.25</c:v>
                </c:pt>
                <c:pt idx="8" formatCode="#,##0">
                  <c:v>46625.249999999993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A5-4254-8434-D88DC2CC8E06}"/>
            </c:ext>
          </c:extLst>
        </c:ser>
        <c:ser>
          <c:idx val="4"/>
          <c:order val="4"/>
          <c:tx>
            <c:strRef>
              <c:f>'Forecast Graphs'!$K$1:$K$2</c:f>
              <c:strCache>
                <c:ptCount val="2"/>
                <c:pt idx="0">
                  <c:v>France</c:v>
                </c:pt>
                <c:pt idx="1">
                  <c:v>Total Cases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'Forecast Graphs'!$A$3:$A$18</c:f>
              <c:numCache>
                <c:formatCode>[$-409]d\-mmm;@</c:formatCode>
                <c:ptCount val="16"/>
                <c:pt idx="0">
                  <c:v>43839</c:v>
                </c:pt>
                <c:pt idx="1">
                  <c:v>43849</c:v>
                </c:pt>
                <c:pt idx="2">
                  <c:v>43859</c:v>
                </c:pt>
                <c:pt idx="3">
                  <c:v>43869</c:v>
                </c:pt>
                <c:pt idx="4">
                  <c:v>43879</c:v>
                </c:pt>
                <c:pt idx="5">
                  <c:v>43889</c:v>
                </c:pt>
                <c:pt idx="6">
                  <c:v>43899</c:v>
                </c:pt>
                <c:pt idx="7">
                  <c:v>43909</c:v>
                </c:pt>
                <c:pt idx="8">
                  <c:v>43919</c:v>
                </c:pt>
                <c:pt idx="9">
                  <c:v>43929</c:v>
                </c:pt>
                <c:pt idx="10">
                  <c:v>43939</c:v>
                </c:pt>
                <c:pt idx="11">
                  <c:v>43949</c:v>
                </c:pt>
                <c:pt idx="12">
                  <c:v>43959</c:v>
                </c:pt>
                <c:pt idx="13">
                  <c:v>43969</c:v>
                </c:pt>
                <c:pt idx="14">
                  <c:v>43979</c:v>
                </c:pt>
                <c:pt idx="15">
                  <c:v>43989</c:v>
                </c:pt>
              </c:numCache>
            </c:numRef>
          </c:xVal>
          <c:yVal>
            <c:numRef>
              <c:f>'Forecast Graphs'!$K$3:$K$18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15.999999999999998</c:v>
                </c:pt>
                <c:pt idx="6" formatCode="#,##0">
                  <c:v>427.00000000000006</c:v>
                </c:pt>
                <c:pt idx="7" formatCode="#,##0">
                  <c:v>3552</c:v>
                </c:pt>
                <c:pt idx="8" formatCode="#,##0">
                  <c:v>23362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0A5-4254-8434-D88DC2CC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584120"/>
        <c:axId val="414585296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'Forecast Graphs'!$M$1:$M$2</c15:sqref>
                        </c15:formulaRef>
                      </c:ext>
                    </c:extLst>
                    <c:strCache>
                      <c:ptCount val="2"/>
                      <c:pt idx="0">
                        <c:v>USA</c:v>
                      </c:pt>
                      <c:pt idx="1">
                        <c:v>Total Cases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'Forecast Graphs'!$A$3:$A$18</c15:sqref>
                        </c15:formulaRef>
                      </c:ext>
                    </c:extLst>
                    <c:numCache>
                      <c:formatCode>[$-409]d\-mmm;@</c:formatCode>
                      <c:ptCount val="16"/>
                      <c:pt idx="0">
                        <c:v>43839</c:v>
                      </c:pt>
                      <c:pt idx="1">
                        <c:v>43849</c:v>
                      </c:pt>
                      <c:pt idx="2">
                        <c:v>43859</c:v>
                      </c:pt>
                      <c:pt idx="3">
                        <c:v>43869</c:v>
                      </c:pt>
                      <c:pt idx="4">
                        <c:v>43879</c:v>
                      </c:pt>
                      <c:pt idx="5">
                        <c:v>43889</c:v>
                      </c:pt>
                      <c:pt idx="6">
                        <c:v>43899</c:v>
                      </c:pt>
                      <c:pt idx="7">
                        <c:v>43909</c:v>
                      </c:pt>
                      <c:pt idx="8">
                        <c:v>43919</c:v>
                      </c:pt>
                      <c:pt idx="9">
                        <c:v>43929</c:v>
                      </c:pt>
                      <c:pt idx="10">
                        <c:v>43939</c:v>
                      </c:pt>
                      <c:pt idx="11">
                        <c:v>43949</c:v>
                      </c:pt>
                      <c:pt idx="12">
                        <c:v>43959</c:v>
                      </c:pt>
                      <c:pt idx="13">
                        <c:v>43969</c:v>
                      </c:pt>
                      <c:pt idx="14">
                        <c:v>43979</c:v>
                      </c:pt>
                      <c:pt idx="15">
                        <c:v>43989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'Forecast Graphs'!$M$3:$M$18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 formatCode="#,##0">
                        <c:v>52.999999999999993</c:v>
                      </c:pt>
                      <c:pt idx="6" formatCode="#,##0">
                        <c:v>221.00000000000003</c:v>
                      </c:pt>
                      <c:pt idx="7" formatCode="#,##0">
                        <c:v>3612.9999999999995</c:v>
                      </c:pt>
                      <c:pt idx="8" formatCode="#,##0">
                        <c:v>68211.000000000015</c:v>
                      </c:pt>
                      <c:pt idx="9" formatCode="#,##0">
                        <c:v>0</c:v>
                      </c:pt>
                      <c:pt idx="10" formatCode="#,##0">
                        <c:v>0</c:v>
                      </c:pt>
                      <c:pt idx="11" formatCode="#,##0">
                        <c:v>0</c:v>
                      </c:pt>
                      <c:pt idx="12" formatCode="#,##0">
                        <c:v>0</c:v>
                      </c:pt>
                      <c:pt idx="13" formatCode="#,##0">
                        <c:v>0</c:v>
                      </c:pt>
                      <c:pt idx="14" formatCode="#,##0">
                        <c:v>0</c:v>
                      </c:pt>
                      <c:pt idx="15" formatCode="#,##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5-F0A5-4254-8434-D88DC2CC8E06}"/>
                  </c:ext>
                </c:extLst>
              </c15:ser>
            </c15:filteredScatterSeries>
          </c:ext>
        </c:extLst>
      </c:scatterChart>
      <c:valAx>
        <c:axId val="414584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4585296"/>
        <c:crosses val="autoZero"/>
        <c:crossBetween val="midCat"/>
      </c:valAx>
      <c:valAx>
        <c:axId val="41458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4584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285749</xdr:colOff>
      <xdr:row>1</xdr:row>
      <xdr:rowOff>100013</xdr:rowOff>
    </xdr:from>
    <xdr:to>
      <xdr:col>35</xdr:col>
      <xdr:colOff>61912</xdr:colOff>
      <xdr:row>49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dent/Downloads/calculationsF_Rev_Ba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.1(TRA)"/>
      <sheetName val="App.2(ICU-vent. cap)"/>
      <sheetName val="App.3(China)"/>
      <sheetName val="App.3(SM Italy)"/>
      <sheetName val="App.3(Germany)"/>
      <sheetName val="App.3(Spain)"/>
      <sheetName val="App.3(France)"/>
      <sheetName val="App.3(USA) "/>
      <sheetName val="App.4 IPR"/>
      <sheetName val="App.5(TFR)"/>
      <sheetName val="App.6(Summary)"/>
      <sheetName val="Forecast Graphs"/>
    </sheetNames>
    <sheetDataSet>
      <sheetData sheetId="0"/>
      <sheetData sheetId="1">
        <row r="4">
          <cell r="E4">
            <v>5181.5655936000003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41"/>
  <sheetViews>
    <sheetView tabSelected="1" zoomScale="70" zoomScaleNormal="70" workbookViewId="0">
      <selection sqref="A1:F1"/>
    </sheetView>
  </sheetViews>
  <sheetFormatPr defaultRowHeight="18.75" x14ac:dyDescent="0.3"/>
  <cols>
    <col min="1" max="1" width="13.7109375" style="52" bestFit="1" customWidth="1"/>
    <col min="2" max="2" width="18.7109375" style="85" customWidth="1"/>
    <col min="3" max="3" width="17.5703125" style="86" customWidth="1"/>
    <col min="4" max="4" width="20.7109375" style="139" customWidth="1"/>
    <col min="5" max="5" width="27.28515625" style="85" bestFit="1" customWidth="1"/>
    <col min="6" max="6" width="23" style="85" customWidth="1"/>
    <col min="7" max="7" width="21.140625" style="86" customWidth="1"/>
    <col min="8" max="8" width="15.42578125" style="19" customWidth="1"/>
    <col min="9" max="9" width="12.5703125" style="19" customWidth="1"/>
    <col min="10" max="10" width="12.140625" style="20" customWidth="1"/>
    <col min="11" max="11" width="10.7109375" style="20" customWidth="1"/>
    <col min="12" max="12" width="14.28515625" style="19" customWidth="1"/>
    <col min="13" max="13" width="16.42578125" style="19" customWidth="1"/>
    <col min="14" max="14" width="10.7109375" style="19" customWidth="1"/>
    <col min="15" max="15" width="4.7109375" style="21" customWidth="1"/>
    <col min="16" max="16" width="6" style="20" customWidth="1"/>
    <col min="17" max="17" width="15" style="20" customWidth="1"/>
    <col min="18" max="18" width="13.28515625" style="20" customWidth="1"/>
    <col min="19" max="19" width="32.140625" style="18" customWidth="1"/>
    <col min="20" max="20" width="27.5703125" style="18" customWidth="1"/>
    <col min="21" max="21" width="18.5703125" style="5" customWidth="1"/>
    <col min="22" max="22" width="9.140625" style="4" customWidth="1"/>
    <col min="23" max="32" width="9.140625" style="4"/>
  </cols>
  <sheetData>
    <row r="1" spans="1:32" s="3" customFormat="1" ht="19.5" thickBot="1" x14ac:dyDescent="0.35">
      <c r="A1" s="444" t="s">
        <v>146</v>
      </c>
      <c r="B1" s="445"/>
      <c r="C1" s="445"/>
      <c r="D1" s="445"/>
      <c r="E1" s="445"/>
      <c r="F1" s="446"/>
      <c r="G1" s="52"/>
      <c r="N1" s="19"/>
      <c r="O1" s="21"/>
      <c r="P1" s="20"/>
      <c r="Q1" s="20"/>
      <c r="R1" s="20"/>
      <c r="S1" s="18"/>
      <c r="T1" s="18"/>
      <c r="U1" s="5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3" customFormat="1" ht="19.5" thickBot="1" x14ac:dyDescent="0.35">
      <c r="A2" s="441" t="s">
        <v>136</v>
      </c>
      <c r="B2" s="442"/>
      <c r="C2" s="442"/>
      <c r="D2" s="442"/>
      <c r="E2" s="442"/>
      <c r="F2" s="443"/>
      <c r="G2" s="52"/>
      <c r="N2" s="21"/>
      <c r="O2" s="20"/>
      <c r="P2" s="20"/>
      <c r="Q2" s="20"/>
      <c r="R2" s="18"/>
      <c r="S2" s="18"/>
      <c r="T2" s="18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2" ht="19.5" thickBot="1" x14ac:dyDescent="0.35">
      <c r="A3" s="467" t="s">
        <v>107</v>
      </c>
      <c r="B3" s="468"/>
      <c r="C3" s="468"/>
      <c r="D3" s="468"/>
      <c r="E3" s="468"/>
      <c r="F3" s="470"/>
      <c r="N3" s="18"/>
      <c r="O3" s="18"/>
      <c r="P3" s="18"/>
      <c r="Q3" s="18"/>
      <c r="R3" s="18"/>
      <c r="U3" s="4"/>
      <c r="AF3"/>
    </row>
    <row r="4" spans="1:32" x14ac:dyDescent="0.3">
      <c r="A4" s="87"/>
      <c r="B4" s="88" t="s">
        <v>110</v>
      </c>
      <c r="C4" s="88" t="s">
        <v>111</v>
      </c>
      <c r="D4" s="88" t="s">
        <v>112</v>
      </c>
      <c r="E4" s="88" t="s">
        <v>113</v>
      </c>
      <c r="F4" s="89" t="s">
        <v>114</v>
      </c>
      <c r="N4" s="18"/>
      <c r="O4" s="18"/>
      <c r="P4" s="18"/>
      <c r="Q4" s="18"/>
      <c r="R4" s="18"/>
      <c r="U4" s="4"/>
      <c r="AF4"/>
    </row>
    <row r="5" spans="1:32" ht="53.45" customHeight="1" x14ac:dyDescent="0.3">
      <c r="A5" s="90" t="s">
        <v>5</v>
      </c>
      <c r="B5" s="91" t="s">
        <v>163</v>
      </c>
      <c r="C5" s="92" t="s">
        <v>168</v>
      </c>
      <c r="D5" s="93" t="s">
        <v>68</v>
      </c>
      <c r="E5" s="92" t="s">
        <v>22</v>
      </c>
      <c r="F5" s="94" t="s">
        <v>30</v>
      </c>
      <c r="N5" s="18"/>
      <c r="O5" s="18"/>
      <c r="P5" s="18"/>
      <c r="Q5" s="18"/>
      <c r="R5" s="18"/>
      <c r="U5" s="4"/>
      <c r="AF5"/>
    </row>
    <row r="6" spans="1:32" ht="18" customHeight="1" x14ac:dyDescent="0.3">
      <c r="A6" s="95" t="s">
        <v>2</v>
      </c>
      <c r="B6" s="96">
        <v>0.11</v>
      </c>
      <c r="C6" s="97">
        <v>3.6</v>
      </c>
      <c r="D6" s="98" t="s">
        <v>72</v>
      </c>
      <c r="E6" s="99">
        <v>1439323776</v>
      </c>
      <c r="F6" s="100" t="s">
        <v>36</v>
      </c>
      <c r="U6" s="4"/>
      <c r="AF6"/>
    </row>
    <row r="7" spans="1:32" ht="19.5" customHeight="1" x14ac:dyDescent="0.3">
      <c r="A7" s="95" t="s">
        <v>1</v>
      </c>
      <c r="B7" s="96">
        <v>0.21</v>
      </c>
      <c r="C7" s="97">
        <v>29.2</v>
      </c>
      <c r="D7" s="98">
        <v>29.866130089384189</v>
      </c>
      <c r="E7" s="99">
        <v>83706861</v>
      </c>
      <c r="F7" s="100" t="s">
        <v>79</v>
      </c>
      <c r="U7" s="4"/>
      <c r="AF7"/>
    </row>
    <row r="8" spans="1:32" x14ac:dyDescent="0.3">
      <c r="A8" s="95" t="s">
        <v>3</v>
      </c>
      <c r="B8" s="96">
        <v>0.19</v>
      </c>
      <c r="C8" s="97">
        <v>9.6999999999999993</v>
      </c>
      <c r="D8" s="98" t="s">
        <v>72</v>
      </c>
      <c r="E8" s="99">
        <v>46749644</v>
      </c>
      <c r="F8" s="100" t="s">
        <v>35</v>
      </c>
      <c r="U8" s="4"/>
      <c r="AF8"/>
    </row>
    <row r="9" spans="1:32" x14ac:dyDescent="0.3">
      <c r="A9" s="95" t="s">
        <v>4</v>
      </c>
      <c r="B9" s="96">
        <v>0.2</v>
      </c>
      <c r="C9" s="97">
        <v>11.6</v>
      </c>
      <c r="D9" s="98">
        <v>7.6649454878274836</v>
      </c>
      <c r="E9" s="99">
        <v>65232036</v>
      </c>
      <c r="F9" s="100" t="s">
        <v>34</v>
      </c>
      <c r="U9" s="4"/>
      <c r="AF9"/>
    </row>
    <row r="10" spans="1:32" x14ac:dyDescent="0.3">
      <c r="A10" s="95" t="s">
        <v>0</v>
      </c>
      <c r="B10" s="96">
        <v>0.23</v>
      </c>
      <c r="C10" s="97">
        <v>12.5</v>
      </c>
      <c r="D10" s="98">
        <v>4.959745301868864</v>
      </c>
      <c r="E10" s="99">
        <v>60486977</v>
      </c>
      <c r="F10" s="101" t="s">
        <v>32</v>
      </c>
      <c r="U10" s="4"/>
      <c r="AF10"/>
    </row>
    <row r="11" spans="1:32" x14ac:dyDescent="0.3">
      <c r="A11" s="95" t="s">
        <v>21</v>
      </c>
      <c r="B11" s="96">
        <v>0.16</v>
      </c>
      <c r="C11" s="102">
        <v>34.700000000000003</v>
      </c>
      <c r="D11" s="98">
        <v>53.728038649024803</v>
      </c>
      <c r="E11" s="99">
        <v>329436928</v>
      </c>
      <c r="F11" s="101" t="s">
        <v>33</v>
      </c>
      <c r="U11" s="4"/>
      <c r="AF11"/>
    </row>
    <row r="12" spans="1:32" ht="28.5" customHeight="1" x14ac:dyDescent="0.3">
      <c r="A12" s="103"/>
      <c r="B12" s="104" t="s">
        <v>110</v>
      </c>
      <c r="C12" s="104" t="s">
        <v>111</v>
      </c>
      <c r="D12" s="104" t="s">
        <v>112</v>
      </c>
      <c r="E12" s="104" t="s">
        <v>113</v>
      </c>
      <c r="F12" s="105" t="s">
        <v>114</v>
      </c>
      <c r="U12" s="4"/>
      <c r="AF12"/>
    </row>
    <row r="13" spans="1:32" ht="80.25" customHeight="1" x14ac:dyDescent="0.3">
      <c r="A13" s="90" t="s">
        <v>5</v>
      </c>
      <c r="B13" s="91" t="s">
        <v>15</v>
      </c>
      <c r="C13" s="93" t="s">
        <v>48</v>
      </c>
      <c r="D13" s="92" t="s">
        <v>49</v>
      </c>
      <c r="E13" s="92" t="s">
        <v>171</v>
      </c>
      <c r="F13" s="94" t="s">
        <v>31</v>
      </c>
      <c r="U13" s="4"/>
      <c r="AF13"/>
    </row>
    <row r="14" spans="1:32" x14ac:dyDescent="0.3">
      <c r="A14" s="95" t="s">
        <v>2</v>
      </c>
      <c r="B14" s="106">
        <v>3</v>
      </c>
      <c r="C14" s="102">
        <v>5</v>
      </c>
      <c r="D14" s="102">
        <v>5</v>
      </c>
      <c r="E14" s="102">
        <v>5</v>
      </c>
      <c r="F14" s="107">
        <v>2</v>
      </c>
      <c r="I14" s="21"/>
      <c r="L14" s="20"/>
      <c r="M14" s="18"/>
      <c r="N14" s="18"/>
      <c r="O14" s="4"/>
      <c r="P14" s="4"/>
      <c r="Q14" s="4"/>
      <c r="R14" s="4"/>
      <c r="S14" s="4"/>
      <c r="T14" s="4"/>
      <c r="U14" s="4"/>
      <c r="Z14"/>
      <c r="AA14"/>
      <c r="AB14"/>
      <c r="AC14"/>
      <c r="AD14"/>
      <c r="AE14"/>
      <c r="AF14"/>
    </row>
    <row r="15" spans="1:32" x14ac:dyDescent="0.3">
      <c r="A15" s="95" t="s">
        <v>1</v>
      </c>
      <c r="B15" s="106">
        <v>5</v>
      </c>
      <c r="C15" s="102">
        <v>1</v>
      </c>
      <c r="D15" s="102">
        <v>1</v>
      </c>
      <c r="E15" s="102">
        <v>2</v>
      </c>
      <c r="F15" s="107">
        <v>3</v>
      </c>
      <c r="I15" s="21"/>
      <c r="L15" s="20"/>
      <c r="M15" s="18"/>
      <c r="N15" s="18"/>
      <c r="O15" s="4"/>
      <c r="P15" s="4"/>
      <c r="Q15" s="4"/>
      <c r="R15" s="4"/>
      <c r="S15" s="4"/>
      <c r="T15" s="4"/>
      <c r="U15" s="4"/>
      <c r="Z15"/>
      <c r="AA15"/>
      <c r="AB15"/>
      <c r="AC15"/>
      <c r="AD15"/>
      <c r="AE15"/>
      <c r="AF15"/>
    </row>
    <row r="16" spans="1:32" x14ac:dyDescent="0.3">
      <c r="A16" s="95" t="s">
        <v>3</v>
      </c>
      <c r="B16" s="106">
        <v>4</v>
      </c>
      <c r="C16" s="102">
        <v>4</v>
      </c>
      <c r="D16" s="102">
        <v>5</v>
      </c>
      <c r="E16" s="102">
        <v>2</v>
      </c>
      <c r="F16" s="107">
        <v>2</v>
      </c>
      <c r="I16" s="21"/>
      <c r="L16" s="20"/>
      <c r="M16" s="18"/>
      <c r="N16" s="18"/>
      <c r="O16" s="4"/>
      <c r="P16" s="4"/>
      <c r="Q16" s="4"/>
      <c r="R16" s="4"/>
      <c r="S16" s="4"/>
      <c r="T16" s="4"/>
      <c r="U16" s="4"/>
      <c r="Z16"/>
      <c r="AA16"/>
      <c r="AB16"/>
      <c r="AC16"/>
      <c r="AD16"/>
      <c r="AE16"/>
      <c r="AF16"/>
    </row>
    <row r="17" spans="1:32" x14ac:dyDescent="0.3">
      <c r="A17" s="95" t="s">
        <v>4</v>
      </c>
      <c r="B17" s="106">
        <v>4</v>
      </c>
      <c r="C17" s="102">
        <v>4</v>
      </c>
      <c r="D17" s="102">
        <v>5</v>
      </c>
      <c r="E17" s="102">
        <v>2</v>
      </c>
      <c r="F17" s="107">
        <v>2</v>
      </c>
      <c r="I17" s="21"/>
      <c r="L17" s="20"/>
      <c r="M17" s="18"/>
      <c r="N17" s="18"/>
      <c r="O17" s="4"/>
      <c r="P17" s="4"/>
      <c r="Q17" s="4"/>
      <c r="R17" s="4"/>
      <c r="S17" s="4"/>
      <c r="T17" s="4"/>
      <c r="U17" s="4"/>
      <c r="Z17"/>
      <c r="AA17"/>
      <c r="AB17"/>
      <c r="AC17"/>
      <c r="AD17"/>
      <c r="AE17"/>
      <c r="AF17"/>
    </row>
    <row r="18" spans="1:32" x14ac:dyDescent="0.3">
      <c r="A18" s="95" t="s">
        <v>0</v>
      </c>
      <c r="B18" s="106">
        <v>5</v>
      </c>
      <c r="C18" s="102">
        <v>4</v>
      </c>
      <c r="D18" s="102">
        <v>5</v>
      </c>
      <c r="E18" s="102">
        <v>2</v>
      </c>
      <c r="F18" s="107">
        <v>2</v>
      </c>
      <c r="I18" s="21"/>
      <c r="L18" s="20"/>
      <c r="M18" s="18"/>
      <c r="N18" s="18"/>
      <c r="O18" s="4"/>
      <c r="P18" s="4"/>
      <c r="Q18" s="4"/>
      <c r="R18" s="4"/>
      <c r="S18" s="4"/>
      <c r="T18" s="4"/>
      <c r="U18" s="4"/>
      <c r="Z18"/>
      <c r="AA18"/>
      <c r="AB18"/>
      <c r="AC18"/>
      <c r="AD18"/>
      <c r="AE18"/>
      <c r="AF18"/>
    </row>
    <row r="19" spans="1:32" ht="19.5" thickBot="1" x14ac:dyDescent="0.35">
      <c r="A19" s="108" t="s">
        <v>21</v>
      </c>
      <c r="B19" s="109">
        <v>4</v>
      </c>
      <c r="C19" s="110">
        <v>1</v>
      </c>
      <c r="D19" s="110">
        <v>1</v>
      </c>
      <c r="E19" s="110">
        <v>3</v>
      </c>
      <c r="F19" s="259">
        <v>1</v>
      </c>
      <c r="I19" s="21"/>
      <c r="L19" s="20"/>
      <c r="M19" s="18"/>
      <c r="N19" s="18"/>
      <c r="O19" s="4"/>
      <c r="P19" s="4"/>
      <c r="Q19" s="4"/>
      <c r="R19" s="4"/>
      <c r="S19" s="4"/>
      <c r="T19" s="4"/>
      <c r="U19" s="4"/>
      <c r="Z19"/>
      <c r="AA19"/>
      <c r="AB19"/>
      <c r="AC19"/>
      <c r="AD19"/>
      <c r="AE19"/>
      <c r="AF19"/>
    </row>
    <row r="20" spans="1:32" s="30" customFormat="1" x14ac:dyDescent="0.3">
      <c r="A20" s="130"/>
      <c r="B20" s="130"/>
      <c r="C20" s="130"/>
      <c r="D20" s="131"/>
      <c r="E20" s="131"/>
      <c r="F20" s="131"/>
      <c r="G20" s="132"/>
      <c r="H20" s="26"/>
      <c r="I20" s="26"/>
      <c r="J20" s="25"/>
      <c r="K20" s="25"/>
      <c r="L20" s="26"/>
      <c r="M20" s="26"/>
      <c r="N20" s="25"/>
      <c r="O20" s="25"/>
      <c r="P20" s="25"/>
      <c r="Q20" s="27"/>
      <c r="R20" s="27"/>
      <c r="S20" s="27"/>
      <c r="T20" s="27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2" s="30" customFormat="1" x14ac:dyDescent="0.3">
      <c r="A21" s="130"/>
      <c r="B21" s="130"/>
      <c r="C21" s="130"/>
      <c r="D21" s="131"/>
      <c r="E21" s="131"/>
      <c r="F21" s="131"/>
      <c r="G21" s="132"/>
      <c r="H21" s="26"/>
      <c r="I21" s="26"/>
      <c r="J21" s="25"/>
      <c r="K21" s="25"/>
      <c r="L21" s="26"/>
      <c r="M21" s="26"/>
      <c r="N21" s="25"/>
      <c r="O21" s="25"/>
      <c r="P21" s="25"/>
      <c r="Q21" s="27"/>
      <c r="R21" s="27"/>
      <c r="S21" s="27"/>
      <c r="T21" s="27"/>
      <c r="U21" s="28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2" s="30" customFormat="1" x14ac:dyDescent="0.3">
      <c r="A22" s="130"/>
      <c r="B22" s="130"/>
      <c r="C22" s="130"/>
      <c r="D22" s="131"/>
      <c r="E22" s="131"/>
      <c r="F22" s="131"/>
      <c r="G22" s="132"/>
      <c r="H22" s="26"/>
      <c r="I22" s="26"/>
      <c r="J22" s="25"/>
      <c r="K22" s="25"/>
      <c r="L22" s="26"/>
      <c r="M22" s="26"/>
      <c r="N22" s="25"/>
      <c r="O22" s="25"/>
      <c r="P22" s="25"/>
      <c r="Q22" s="27"/>
      <c r="R22" s="27"/>
      <c r="S22" s="27"/>
      <c r="T22" s="27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2" s="30" customFormat="1" x14ac:dyDescent="0.3">
      <c r="A23" s="130"/>
      <c r="B23" s="130"/>
      <c r="C23" s="130"/>
      <c r="D23" s="131"/>
      <c r="E23" s="131"/>
      <c r="F23" s="131"/>
      <c r="G23" s="132"/>
      <c r="H23" s="26"/>
      <c r="I23" s="26"/>
      <c r="J23" s="25"/>
      <c r="K23" s="25"/>
      <c r="L23" s="26"/>
      <c r="M23" s="26"/>
      <c r="N23" s="25"/>
      <c r="O23" s="25"/>
      <c r="P23" s="25"/>
      <c r="Q23" s="27"/>
      <c r="R23" s="27"/>
      <c r="S23" s="27"/>
      <c r="T23" s="27"/>
      <c r="U23" s="28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2" s="30" customFormat="1" x14ac:dyDescent="0.3">
      <c r="A24" s="130"/>
      <c r="B24" s="130"/>
      <c r="C24" s="130"/>
      <c r="D24" s="131"/>
      <c r="E24" s="131"/>
      <c r="F24" s="131"/>
      <c r="G24" s="132"/>
      <c r="H24" s="26"/>
      <c r="I24" s="26"/>
      <c r="J24" s="25"/>
      <c r="K24" s="25"/>
      <c r="L24" s="26"/>
      <c r="M24" s="26"/>
      <c r="N24" s="25"/>
      <c r="O24" s="25"/>
      <c r="P24" s="25"/>
      <c r="Q24" s="27"/>
      <c r="R24" s="27"/>
      <c r="S24" s="27"/>
      <c r="T24" s="27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2" s="30" customFormat="1" x14ac:dyDescent="0.3">
      <c r="A25" s="130"/>
      <c r="B25" s="130"/>
      <c r="C25" s="130"/>
      <c r="D25" s="131"/>
      <c r="E25" s="131"/>
      <c r="F25" s="131"/>
      <c r="G25" s="132"/>
      <c r="H25" s="26"/>
      <c r="I25" s="26"/>
      <c r="J25" s="25"/>
      <c r="K25" s="25"/>
      <c r="L25" s="26"/>
      <c r="M25" s="26"/>
      <c r="N25" s="25"/>
      <c r="O25" s="25"/>
      <c r="P25" s="25"/>
      <c r="Q25" s="27"/>
      <c r="R25" s="27"/>
      <c r="S25" s="27"/>
      <c r="T25" s="27"/>
      <c r="U25" s="28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2" s="30" customFormat="1" ht="19.5" thickBot="1" x14ac:dyDescent="0.35">
      <c r="A26" s="130"/>
      <c r="B26" s="130"/>
      <c r="C26" s="130"/>
      <c r="D26" s="131"/>
      <c r="E26" s="131"/>
      <c r="F26" s="131"/>
      <c r="G26" s="132"/>
      <c r="H26" s="26"/>
      <c r="I26" s="26"/>
      <c r="J26" s="25"/>
      <c r="K26" s="25"/>
      <c r="L26" s="26"/>
      <c r="M26" s="26"/>
      <c r="N26" s="25"/>
      <c r="O26" s="25"/>
      <c r="P26" s="25"/>
      <c r="Q26" s="27"/>
      <c r="R26" s="27"/>
      <c r="S26" s="27"/>
      <c r="T26" s="27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2" ht="27" customHeight="1" thickBot="1" x14ac:dyDescent="0.3">
      <c r="A27" s="467" t="s">
        <v>108</v>
      </c>
      <c r="B27" s="468"/>
      <c r="C27" s="468"/>
      <c r="D27" s="469"/>
      <c r="E27" s="474" t="s">
        <v>109</v>
      </c>
      <c r="F27" s="475"/>
      <c r="G27" s="476"/>
      <c r="I27" s="21"/>
      <c r="L27" s="20"/>
      <c r="M27" s="18"/>
      <c r="N27" s="18"/>
      <c r="O27" s="4"/>
      <c r="P27" s="4"/>
      <c r="Q27" s="4"/>
      <c r="R27" s="4"/>
      <c r="S27" s="4"/>
      <c r="T27" s="4"/>
      <c r="U27" s="4"/>
      <c r="Z27"/>
      <c r="AA27"/>
      <c r="AB27"/>
      <c r="AC27"/>
      <c r="AD27"/>
      <c r="AE27"/>
      <c r="AF27"/>
    </row>
    <row r="28" spans="1:32" ht="25.5" customHeight="1" x14ac:dyDescent="0.25">
      <c r="A28" s="479" t="s">
        <v>5</v>
      </c>
      <c r="B28" s="471" t="s">
        <v>115</v>
      </c>
      <c r="C28" s="472"/>
      <c r="D28" s="473"/>
      <c r="E28" s="111" t="s">
        <v>117</v>
      </c>
      <c r="F28" s="112" t="s">
        <v>116</v>
      </c>
      <c r="G28" s="113" t="s">
        <v>118</v>
      </c>
      <c r="I28" s="21"/>
      <c r="L28" s="20"/>
      <c r="M28" s="18"/>
      <c r="N28" s="18"/>
      <c r="O28" s="4"/>
      <c r="P28" s="4"/>
      <c r="Q28" s="4"/>
      <c r="R28" s="4"/>
      <c r="S28" s="4"/>
      <c r="T28" s="4"/>
      <c r="U28" s="4"/>
      <c r="Z28"/>
      <c r="AA28"/>
      <c r="AB28"/>
      <c r="AC28"/>
      <c r="AD28"/>
      <c r="AE28"/>
      <c r="AF28"/>
    </row>
    <row r="29" spans="1:32" ht="75" x14ac:dyDescent="0.25">
      <c r="A29" s="480"/>
      <c r="B29" s="114" t="s">
        <v>23</v>
      </c>
      <c r="C29" s="115" t="s">
        <v>28</v>
      </c>
      <c r="D29" s="116" t="s">
        <v>69</v>
      </c>
      <c r="E29" s="116" t="s">
        <v>103</v>
      </c>
      <c r="F29" s="117" t="s">
        <v>93</v>
      </c>
      <c r="G29" s="118" t="s">
        <v>100</v>
      </c>
      <c r="I29" s="21"/>
      <c r="L29" s="20"/>
      <c r="M29" s="18"/>
      <c r="N29" s="18"/>
      <c r="O29" s="4"/>
      <c r="P29" s="4"/>
      <c r="Q29" s="4"/>
      <c r="R29" s="4"/>
      <c r="S29" s="4"/>
      <c r="T29" s="4"/>
      <c r="U29" s="4"/>
      <c r="Y29"/>
      <c r="Z29"/>
      <c r="AA29"/>
      <c r="AB29"/>
      <c r="AC29"/>
      <c r="AD29"/>
      <c r="AE29"/>
      <c r="AF29"/>
    </row>
    <row r="30" spans="1:32" x14ac:dyDescent="0.3">
      <c r="A30" s="175" t="s">
        <v>2</v>
      </c>
      <c r="B30" s="174">
        <v>43857</v>
      </c>
      <c r="C30" s="119">
        <v>4515</v>
      </c>
      <c r="D30" s="120">
        <v>0.31368897500933102</v>
      </c>
      <c r="E30" s="121" t="s">
        <v>101</v>
      </c>
      <c r="F30" s="122" t="s">
        <v>94</v>
      </c>
      <c r="G30" s="123" t="s">
        <v>101</v>
      </c>
      <c r="H30" s="32"/>
      <c r="J30" s="21"/>
      <c r="L30" s="20"/>
      <c r="M30" s="20"/>
      <c r="N30" s="18"/>
      <c r="O30" s="18"/>
      <c r="P30" s="4"/>
      <c r="Q30" s="4"/>
      <c r="R30" s="4"/>
      <c r="S30" s="4"/>
      <c r="T30" s="4"/>
      <c r="U30" s="4"/>
      <c r="Z30"/>
      <c r="AA30"/>
      <c r="AB30"/>
      <c r="AC30"/>
      <c r="AD30"/>
      <c r="AE30"/>
      <c r="AF30"/>
    </row>
    <row r="31" spans="1:32" x14ac:dyDescent="0.3">
      <c r="A31" s="175" t="s">
        <v>1</v>
      </c>
      <c r="B31" s="174">
        <v>43906</v>
      </c>
      <c r="C31" s="119">
        <v>7272</v>
      </c>
      <c r="D31" s="120">
        <v>8.6874599204000731</v>
      </c>
      <c r="E31" s="121" t="s">
        <v>101</v>
      </c>
      <c r="F31" s="122">
        <v>11127</v>
      </c>
      <c r="G31" s="123" t="s">
        <v>101</v>
      </c>
      <c r="H31" s="32"/>
      <c r="J31" s="21"/>
      <c r="L31" s="20"/>
      <c r="M31" s="20"/>
      <c r="N31" s="18"/>
      <c r="O31" s="18"/>
      <c r="P31" s="4"/>
      <c r="Q31" s="4"/>
      <c r="R31" s="4"/>
      <c r="S31" s="4"/>
      <c r="T31" s="4"/>
      <c r="U31" s="4"/>
      <c r="Z31"/>
      <c r="AA31"/>
      <c r="AB31"/>
      <c r="AC31"/>
      <c r="AD31"/>
      <c r="AE31"/>
      <c r="AF31"/>
    </row>
    <row r="32" spans="1:32" x14ac:dyDescent="0.3">
      <c r="A32" s="175" t="s">
        <v>3</v>
      </c>
      <c r="B32" s="174">
        <v>43904</v>
      </c>
      <c r="C32" s="119">
        <v>6391</v>
      </c>
      <c r="D32" s="120">
        <v>13.670692337250738</v>
      </c>
      <c r="E32" s="121" t="s">
        <v>102</v>
      </c>
      <c r="F32" s="122">
        <v>7000</v>
      </c>
      <c r="G32" s="123" t="s">
        <v>102</v>
      </c>
      <c r="H32" s="32"/>
      <c r="I32" s="20"/>
      <c r="L32" s="18"/>
      <c r="M32" s="18"/>
      <c r="N32" s="18"/>
      <c r="O32" s="18"/>
      <c r="P32" s="5"/>
      <c r="Q32" s="4"/>
      <c r="R32" s="4"/>
      <c r="S32" s="4"/>
      <c r="T32" s="4"/>
      <c r="U32" s="4"/>
      <c r="AA32"/>
      <c r="AB32"/>
      <c r="AC32"/>
      <c r="AD32"/>
      <c r="AE32"/>
      <c r="AF32"/>
    </row>
    <row r="33" spans="1:32" x14ac:dyDescent="0.3">
      <c r="A33" s="175" t="s">
        <v>4</v>
      </c>
      <c r="B33" s="174">
        <v>43906</v>
      </c>
      <c r="C33" s="119">
        <v>6633</v>
      </c>
      <c r="D33" s="120">
        <v>10.168316684151941</v>
      </c>
      <c r="E33" s="121" t="s">
        <v>102</v>
      </c>
      <c r="F33" s="122">
        <v>3412</v>
      </c>
      <c r="G33" s="123" t="s">
        <v>102</v>
      </c>
      <c r="H33" s="32"/>
      <c r="I33" s="20"/>
      <c r="L33" s="18"/>
      <c r="M33" s="18"/>
      <c r="N33" s="18"/>
      <c r="O33" s="18"/>
      <c r="P33" s="5"/>
      <c r="Q33" s="4"/>
      <c r="R33" s="4"/>
      <c r="S33" s="4"/>
      <c r="T33" s="4"/>
      <c r="U33" s="4"/>
      <c r="AA33"/>
      <c r="AB33"/>
      <c r="AC33"/>
      <c r="AD33"/>
      <c r="AE33"/>
      <c r="AF33"/>
    </row>
    <row r="34" spans="1:32" x14ac:dyDescent="0.3">
      <c r="A34" s="175" t="s">
        <v>0</v>
      </c>
      <c r="B34" s="174">
        <v>43898</v>
      </c>
      <c r="C34" s="119">
        <v>7375</v>
      </c>
      <c r="D34" s="120">
        <v>12.192707200427623</v>
      </c>
      <c r="E34" s="121" t="s">
        <v>106</v>
      </c>
      <c r="F34" s="122">
        <v>9156</v>
      </c>
      <c r="G34" s="123" t="s">
        <v>106</v>
      </c>
      <c r="H34" s="32"/>
      <c r="I34" s="20"/>
      <c r="L34" s="18"/>
      <c r="M34" s="18"/>
      <c r="N34" s="18"/>
      <c r="O34" s="18"/>
      <c r="P34" s="5"/>
      <c r="Q34" s="4"/>
      <c r="R34" s="4"/>
      <c r="S34" s="4"/>
      <c r="T34" s="4"/>
      <c r="U34" s="4"/>
      <c r="AA34"/>
      <c r="AB34"/>
      <c r="AC34"/>
      <c r="AD34"/>
      <c r="AE34"/>
      <c r="AF34"/>
    </row>
    <row r="35" spans="1:32" ht="19.5" thickBot="1" x14ac:dyDescent="0.35">
      <c r="A35" s="176" t="s">
        <v>21</v>
      </c>
      <c r="B35" s="174">
        <v>43912</v>
      </c>
      <c r="C35" s="119">
        <v>33592</v>
      </c>
      <c r="D35" s="120">
        <v>10.196792510158424</v>
      </c>
      <c r="E35" s="121" t="s">
        <v>106</v>
      </c>
      <c r="F35" s="122">
        <v>3469</v>
      </c>
      <c r="G35" s="123" t="s">
        <v>106</v>
      </c>
      <c r="H35" s="32"/>
      <c r="I35" s="20"/>
      <c r="L35" s="18"/>
      <c r="M35" s="18"/>
      <c r="N35" s="18"/>
      <c r="O35" s="18"/>
      <c r="P35" s="5"/>
      <c r="Q35" s="4"/>
      <c r="R35" s="4"/>
      <c r="S35" s="4"/>
      <c r="T35" s="4"/>
      <c r="U35" s="4"/>
      <c r="AA35"/>
      <c r="AB35"/>
      <c r="AC35"/>
      <c r="AD35"/>
      <c r="AE35"/>
      <c r="AF35"/>
    </row>
    <row r="36" spans="1:32" ht="27" customHeight="1" x14ac:dyDescent="0.25">
      <c r="A36" s="477" t="s">
        <v>5</v>
      </c>
      <c r="B36" s="486" t="s">
        <v>115</v>
      </c>
      <c r="C36" s="487"/>
      <c r="D36" s="488"/>
      <c r="E36" s="124" t="s">
        <v>117</v>
      </c>
      <c r="F36" s="125" t="s">
        <v>116</v>
      </c>
      <c r="G36" s="126" t="s">
        <v>118</v>
      </c>
      <c r="H36" s="20"/>
      <c r="I36" s="20"/>
      <c r="K36" s="18"/>
      <c r="L36" s="18"/>
      <c r="M36" s="18"/>
      <c r="N36" s="18"/>
      <c r="O36" s="5"/>
      <c r="P36" s="4"/>
      <c r="Q36" s="4"/>
      <c r="R36" s="4"/>
      <c r="S36" s="4"/>
      <c r="T36" s="4"/>
      <c r="U36" s="4"/>
      <c r="Z36"/>
      <c r="AA36"/>
      <c r="AB36"/>
      <c r="AC36"/>
      <c r="AD36"/>
      <c r="AE36"/>
      <c r="AF36"/>
    </row>
    <row r="37" spans="1:32" ht="56.25" x14ac:dyDescent="0.25">
      <c r="A37" s="478"/>
      <c r="B37" s="489" t="s">
        <v>29</v>
      </c>
      <c r="C37" s="489"/>
      <c r="D37" s="490"/>
      <c r="E37" s="116" t="s">
        <v>100</v>
      </c>
      <c r="F37" s="117" t="s">
        <v>93</v>
      </c>
      <c r="G37" s="118" t="s">
        <v>100</v>
      </c>
      <c r="H37" s="20"/>
      <c r="I37" s="20"/>
      <c r="K37" s="18"/>
      <c r="L37" s="18"/>
      <c r="M37" s="18"/>
      <c r="N37" s="18"/>
      <c r="O37" s="5"/>
      <c r="P37" s="4"/>
      <c r="Q37" s="4"/>
      <c r="R37" s="4"/>
      <c r="S37" s="4"/>
      <c r="T37" s="4"/>
      <c r="U37" s="4"/>
      <c r="Z37"/>
      <c r="AA37"/>
      <c r="AB37"/>
      <c r="AC37"/>
      <c r="AD37"/>
      <c r="AE37"/>
      <c r="AF37"/>
    </row>
    <row r="38" spans="1:32" x14ac:dyDescent="0.3">
      <c r="A38" s="177" t="s">
        <v>2</v>
      </c>
      <c r="B38" s="484">
        <v>1</v>
      </c>
      <c r="C38" s="485"/>
      <c r="D38" s="485"/>
      <c r="E38" s="121">
        <v>1</v>
      </c>
      <c r="F38" s="122"/>
      <c r="G38" s="123"/>
      <c r="H38" s="20"/>
      <c r="I38" s="20"/>
      <c r="K38" s="18"/>
      <c r="L38" s="18"/>
      <c r="M38" s="18"/>
      <c r="N38" s="18"/>
      <c r="O38" s="5"/>
      <c r="P38" s="4"/>
      <c r="Q38" s="4"/>
      <c r="R38" s="4"/>
      <c r="S38" s="4"/>
      <c r="T38" s="4"/>
      <c r="U38" s="4"/>
      <c r="Z38"/>
      <c r="AA38"/>
      <c r="AB38"/>
      <c r="AC38"/>
      <c r="AD38"/>
      <c r="AE38"/>
      <c r="AF38"/>
    </row>
    <row r="39" spans="1:32" x14ac:dyDescent="0.3">
      <c r="A39" s="177" t="s">
        <v>1</v>
      </c>
      <c r="B39" s="484">
        <v>3</v>
      </c>
      <c r="C39" s="485"/>
      <c r="D39" s="485"/>
      <c r="E39" s="121">
        <v>1</v>
      </c>
      <c r="F39" s="122">
        <v>1</v>
      </c>
      <c r="G39" s="123">
        <v>1</v>
      </c>
      <c r="H39" s="20"/>
      <c r="I39" s="20"/>
      <c r="K39" s="18"/>
      <c r="L39" s="18"/>
      <c r="M39" s="18"/>
      <c r="N39" s="18"/>
      <c r="O39" s="5"/>
      <c r="P39" s="4"/>
      <c r="Q39" s="4"/>
      <c r="R39" s="4"/>
      <c r="S39" s="4"/>
      <c r="T39" s="4"/>
      <c r="U39" s="4"/>
      <c r="Z39"/>
      <c r="AA39"/>
      <c r="AB39"/>
      <c r="AC39"/>
      <c r="AD39"/>
      <c r="AE39"/>
      <c r="AF39"/>
    </row>
    <row r="40" spans="1:32" x14ac:dyDescent="0.3">
      <c r="A40" s="177" t="s">
        <v>3</v>
      </c>
      <c r="B40" s="484">
        <v>4</v>
      </c>
      <c r="C40" s="485"/>
      <c r="D40" s="485"/>
      <c r="E40" s="121">
        <v>5</v>
      </c>
      <c r="F40" s="122">
        <v>2</v>
      </c>
      <c r="G40" s="123">
        <v>5</v>
      </c>
      <c r="N40" s="20"/>
      <c r="O40" s="20"/>
      <c r="Q40" s="18"/>
      <c r="R40" s="18"/>
      <c r="AF40"/>
    </row>
    <row r="41" spans="1:32" x14ac:dyDescent="0.3">
      <c r="A41" s="177" t="s">
        <v>4</v>
      </c>
      <c r="B41" s="484">
        <v>4</v>
      </c>
      <c r="C41" s="485"/>
      <c r="D41" s="485"/>
      <c r="E41" s="121">
        <v>5</v>
      </c>
      <c r="F41" s="122">
        <v>4</v>
      </c>
      <c r="G41" s="123">
        <v>5</v>
      </c>
      <c r="N41" s="20"/>
      <c r="O41" s="20"/>
      <c r="Q41" s="18"/>
      <c r="R41" s="18"/>
      <c r="AF41"/>
    </row>
    <row r="42" spans="1:32" x14ac:dyDescent="0.3">
      <c r="A42" s="177" t="s">
        <v>0</v>
      </c>
      <c r="B42" s="484">
        <v>4</v>
      </c>
      <c r="C42" s="485"/>
      <c r="D42" s="485"/>
      <c r="E42" s="121">
        <v>5</v>
      </c>
      <c r="F42" s="122">
        <v>1</v>
      </c>
      <c r="G42" s="123">
        <v>2</v>
      </c>
      <c r="N42" s="20"/>
      <c r="O42" s="20"/>
      <c r="Q42" s="18"/>
      <c r="R42" s="18"/>
      <c r="AF42"/>
    </row>
    <row r="43" spans="1:32" ht="19.5" thickBot="1" x14ac:dyDescent="0.35">
      <c r="A43" s="178" t="s">
        <v>21</v>
      </c>
      <c r="B43" s="484">
        <v>4</v>
      </c>
      <c r="C43" s="485"/>
      <c r="D43" s="485"/>
      <c r="E43" s="127">
        <v>5</v>
      </c>
      <c r="F43" s="128">
        <v>4</v>
      </c>
      <c r="G43" s="129">
        <v>3</v>
      </c>
      <c r="N43" s="20"/>
      <c r="O43" s="20"/>
      <c r="Q43" s="18"/>
      <c r="R43" s="18"/>
      <c r="AF43"/>
    </row>
    <row r="44" spans="1:32" s="30" customFormat="1" x14ac:dyDescent="0.3">
      <c r="A44" s="130"/>
      <c r="B44" s="130"/>
      <c r="C44" s="130"/>
      <c r="D44" s="131"/>
      <c r="E44" s="131"/>
      <c r="F44" s="131"/>
      <c r="G44" s="132"/>
      <c r="H44" s="26"/>
      <c r="I44" s="26"/>
      <c r="J44" s="25"/>
      <c r="K44" s="25"/>
      <c r="L44" s="26"/>
      <c r="M44" s="26"/>
      <c r="N44" s="25"/>
      <c r="O44" s="25"/>
      <c r="P44" s="25"/>
      <c r="Q44" s="27"/>
      <c r="R44" s="27"/>
      <c r="S44" s="27"/>
      <c r="T44" s="27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2" s="30" customFormat="1" x14ac:dyDescent="0.3">
      <c r="A45" s="130"/>
      <c r="B45" s="130"/>
      <c r="C45" s="130"/>
      <c r="D45" s="131"/>
      <c r="E45" s="131"/>
      <c r="F45" s="131"/>
      <c r="G45" s="132"/>
      <c r="H45" s="26"/>
      <c r="I45" s="26"/>
      <c r="J45" s="25"/>
      <c r="K45" s="25"/>
      <c r="L45" s="26"/>
      <c r="M45" s="26"/>
      <c r="N45" s="25"/>
      <c r="O45" s="25"/>
      <c r="P45" s="25"/>
      <c r="Q45" s="27"/>
      <c r="R45" s="27"/>
      <c r="S45" s="27"/>
      <c r="T45" s="27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2" s="30" customFormat="1" x14ac:dyDescent="0.3">
      <c r="A46" s="130"/>
      <c r="B46" s="130"/>
      <c r="C46" s="130"/>
      <c r="D46" s="131"/>
      <c r="E46" s="131"/>
      <c r="F46" s="131"/>
      <c r="G46" s="132"/>
      <c r="H46" s="26"/>
      <c r="I46" s="26"/>
      <c r="J46" s="25"/>
      <c r="K46" s="25"/>
      <c r="L46" s="26"/>
      <c r="M46" s="26"/>
      <c r="N46" s="25"/>
      <c r="O46" s="25"/>
      <c r="P46" s="25"/>
      <c r="Q46" s="27"/>
      <c r="R46" s="27"/>
      <c r="S46" s="27"/>
      <c r="T46" s="27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2" s="30" customFormat="1" x14ac:dyDescent="0.3">
      <c r="A47" s="130"/>
      <c r="B47" s="130"/>
      <c r="C47" s="130"/>
      <c r="D47" s="131"/>
      <c r="E47" s="131"/>
      <c r="F47" s="131"/>
      <c r="G47" s="132"/>
      <c r="H47" s="26"/>
      <c r="I47" s="26"/>
      <c r="J47" s="25"/>
      <c r="K47" s="25"/>
      <c r="L47" s="26"/>
      <c r="M47" s="26"/>
      <c r="N47" s="25"/>
      <c r="O47" s="25"/>
      <c r="P47" s="25"/>
      <c r="Q47" s="27"/>
      <c r="R47" s="27"/>
      <c r="S47" s="27"/>
      <c r="T47" s="27"/>
      <c r="U47" s="28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2" s="30" customFormat="1" x14ac:dyDescent="0.3">
      <c r="A48" s="130"/>
      <c r="B48" s="130"/>
      <c r="C48" s="130"/>
      <c r="D48" s="131"/>
      <c r="E48" s="131"/>
      <c r="F48" s="131"/>
      <c r="G48" s="132"/>
      <c r="H48" s="26"/>
      <c r="I48" s="26"/>
      <c r="J48" s="25"/>
      <c r="K48" s="25"/>
      <c r="L48" s="26"/>
      <c r="M48" s="26"/>
      <c r="N48" s="25"/>
      <c r="O48" s="25"/>
      <c r="P48" s="25"/>
      <c r="Q48" s="27"/>
      <c r="R48" s="27"/>
      <c r="S48" s="27"/>
      <c r="T48" s="27"/>
      <c r="U48" s="28"/>
      <c r="V48" s="29"/>
      <c r="W48" s="29"/>
      <c r="X48" s="29"/>
      <c r="Y48" s="29"/>
      <c r="Z48" s="29"/>
      <c r="AA48" s="29"/>
      <c r="AB48" s="29"/>
      <c r="AC48" s="29"/>
      <c r="AD48" s="29"/>
      <c r="AE48" s="29"/>
    </row>
    <row r="49" spans="1:32" s="30" customFormat="1" x14ac:dyDescent="0.3">
      <c r="A49" s="130"/>
      <c r="B49" s="130"/>
      <c r="C49" s="130"/>
      <c r="D49" s="131"/>
      <c r="E49" s="131"/>
      <c r="F49" s="131"/>
      <c r="G49" s="132"/>
      <c r="H49" s="26"/>
      <c r="I49" s="26"/>
      <c r="J49" s="25"/>
      <c r="K49" s="25"/>
      <c r="L49" s="26"/>
      <c r="M49" s="26"/>
      <c r="N49" s="25"/>
      <c r="O49" s="25"/>
      <c r="P49" s="25"/>
      <c r="Q49" s="27"/>
      <c r="R49" s="27"/>
      <c r="S49" s="27"/>
      <c r="T49" s="27"/>
      <c r="U49" s="28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2" s="30" customFormat="1" x14ac:dyDescent="0.3">
      <c r="A50" s="134"/>
      <c r="B50" s="132"/>
      <c r="C50" s="135"/>
      <c r="D50" s="136"/>
      <c r="E50" s="132"/>
      <c r="F50" s="132"/>
      <c r="G50" s="132"/>
      <c r="H50" s="25"/>
      <c r="I50" s="25"/>
      <c r="J50" s="26"/>
      <c r="K50" s="26"/>
      <c r="L50" s="26"/>
      <c r="M50" s="25"/>
      <c r="N50" s="25"/>
      <c r="O50" s="25"/>
      <c r="P50" s="25"/>
      <c r="Q50" s="27"/>
      <c r="R50" s="27"/>
      <c r="S50" s="27"/>
      <c r="T50" s="27"/>
      <c r="U50" s="28"/>
      <c r="V50" s="29"/>
      <c r="W50" s="29"/>
      <c r="X50" s="29"/>
      <c r="Y50" s="29"/>
      <c r="Z50" s="29"/>
      <c r="AA50" s="29"/>
      <c r="AB50" s="29"/>
      <c r="AC50" s="29"/>
      <c r="AD50" s="29"/>
      <c r="AE50" s="29"/>
    </row>
    <row r="51" spans="1:32" s="30" customFormat="1" x14ac:dyDescent="0.3">
      <c r="A51" s="134"/>
      <c r="B51" s="132"/>
      <c r="C51" s="135"/>
      <c r="D51" s="136"/>
      <c r="E51" s="132"/>
      <c r="F51" s="132"/>
      <c r="G51" s="132"/>
      <c r="H51" s="25"/>
      <c r="I51" s="25"/>
      <c r="J51" s="26"/>
      <c r="K51" s="26"/>
      <c r="L51" s="26"/>
      <c r="M51" s="25"/>
      <c r="N51" s="25"/>
      <c r="O51" s="25"/>
      <c r="P51" s="25"/>
      <c r="Q51" s="27"/>
      <c r="R51" s="27"/>
      <c r="S51" s="27"/>
      <c r="T51" s="27"/>
      <c r="U51" s="28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1:32" s="30" customFormat="1" x14ac:dyDescent="0.3">
      <c r="A52" s="134"/>
      <c r="B52" s="132"/>
      <c r="C52" s="135"/>
      <c r="D52" s="136"/>
      <c r="E52" s="132"/>
      <c r="F52" s="132"/>
      <c r="G52" s="132"/>
      <c r="H52" s="25"/>
      <c r="I52" s="25"/>
      <c r="J52" s="26"/>
      <c r="K52" s="26"/>
      <c r="L52" s="26"/>
      <c r="M52" s="25"/>
      <c r="N52" s="25"/>
      <c r="O52" s="25"/>
      <c r="P52" s="25"/>
      <c r="Q52" s="27"/>
      <c r="R52" s="27"/>
      <c r="S52" s="27"/>
      <c r="T52" s="27"/>
      <c r="U52" s="28"/>
      <c r="V52" s="29"/>
      <c r="W52" s="29"/>
      <c r="X52" s="29"/>
      <c r="Y52" s="29"/>
      <c r="Z52" s="29"/>
      <c r="AA52" s="29"/>
      <c r="AB52" s="29"/>
      <c r="AC52" s="29"/>
      <c r="AD52" s="29"/>
      <c r="AE52" s="29"/>
    </row>
    <row r="53" spans="1:32" s="30" customFormat="1" ht="19.5" thickBot="1" x14ac:dyDescent="0.35">
      <c r="A53" s="130"/>
      <c r="B53" s="130"/>
      <c r="C53" s="130"/>
      <c r="D53" s="131"/>
      <c r="E53" s="131"/>
      <c r="F53" s="131"/>
      <c r="G53" s="132"/>
      <c r="H53" s="26"/>
      <c r="I53" s="26"/>
      <c r="J53" s="25"/>
      <c r="K53" s="25"/>
      <c r="L53" s="26"/>
      <c r="M53" s="26"/>
      <c r="N53" s="25"/>
      <c r="O53" s="25"/>
      <c r="P53" s="25"/>
      <c r="Q53" s="27"/>
      <c r="R53" s="27"/>
      <c r="S53" s="27"/>
      <c r="T53" s="27"/>
      <c r="U53" s="28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 spans="1:32" ht="30" customHeight="1" thickBot="1" x14ac:dyDescent="0.3">
      <c r="A54" s="425" t="s">
        <v>164</v>
      </c>
      <c r="B54" s="426"/>
      <c r="C54" s="426"/>
      <c r="D54" s="426"/>
      <c r="E54" s="426"/>
      <c r="F54" s="426"/>
      <c r="G54" s="427"/>
      <c r="N54" s="20"/>
      <c r="O54" s="20"/>
      <c r="Q54" s="18"/>
      <c r="R54" s="18"/>
      <c r="AF54"/>
    </row>
    <row r="55" spans="1:32" ht="15" x14ac:dyDescent="0.25">
      <c r="A55" s="434" t="s">
        <v>25</v>
      </c>
      <c r="B55" s="428" t="s">
        <v>121</v>
      </c>
      <c r="C55" s="428" t="s">
        <v>120</v>
      </c>
      <c r="D55" s="428" t="s">
        <v>165</v>
      </c>
      <c r="E55" s="428" t="s">
        <v>122</v>
      </c>
      <c r="F55" s="430" t="s">
        <v>166</v>
      </c>
      <c r="G55" s="432" t="s">
        <v>123</v>
      </c>
      <c r="N55" s="20"/>
      <c r="O55" s="20"/>
      <c r="Q55" s="18"/>
      <c r="R55" s="18"/>
      <c r="AF55"/>
    </row>
    <row r="56" spans="1:32" ht="21.75" customHeight="1" x14ac:dyDescent="0.25">
      <c r="A56" s="435"/>
      <c r="B56" s="429"/>
      <c r="C56" s="429"/>
      <c r="D56" s="429"/>
      <c r="E56" s="429"/>
      <c r="F56" s="431"/>
      <c r="G56" s="433"/>
      <c r="N56" s="20"/>
      <c r="O56" s="20"/>
      <c r="Q56" s="18"/>
      <c r="R56" s="18"/>
      <c r="AF56"/>
    </row>
    <row r="57" spans="1:32" x14ac:dyDescent="0.3">
      <c r="A57" s="137" t="s">
        <v>2</v>
      </c>
      <c r="B57" s="180">
        <f t="shared" ref="B57:B62" si="0">SUM(B14:F14)</f>
        <v>20</v>
      </c>
      <c r="C57" s="133">
        <f t="shared" ref="C57:C62" si="1">B57*100/25</f>
        <v>80</v>
      </c>
      <c r="D57" s="106">
        <f t="shared" ref="D57:D62" si="2">SUM(B14:F14,B38:E38)</f>
        <v>22</v>
      </c>
      <c r="E57" s="133">
        <f>D57*100/35</f>
        <v>62.857142857142854</v>
      </c>
      <c r="F57" s="106" t="s">
        <v>119</v>
      </c>
      <c r="G57" s="181" t="s">
        <v>119</v>
      </c>
      <c r="H57" s="20"/>
      <c r="I57" s="20"/>
      <c r="J57" s="19"/>
      <c r="K57" s="18"/>
      <c r="L57" s="18"/>
      <c r="M57" s="20"/>
      <c r="N57" s="20"/>
      <c r="O57" s="20"/>
      <c r="Q57" s="18"/>
      <c r="R57" s="18"/>
      <c r="AF57"/>
    </row>
    <row r="58" spans="1:32" x14ac:dyDescent="0.3">
      <c r="A58" s="137" t="s">
        <v>1</v>
      </c>
      <c r="B58" s="180">
        <f t="shared" si="0"/>
        <v>12</v>
      </c>
      <c r="C58" s="133">
        <f>B58*100/25</f>
        <v>48</v>
      </c>
      <c r="D58" s="106">
        <f t="shared" si="2"/>
        <v>16</v>
      </c>
      <c r="E58" s="133">
        <f t="shared" ref="E58:E61" si="3">D58*100/35</f>
        <v>45.714285714285715</v>
      </c>
      <c r="F58" s="106">
        <f>SUM(B15:F15,B39,F39,G39)</f>
        <v>17</v>
      </c>
      <c r="G58" s="181">
        <f>F58*100/40</f>
        <v>42.5</v>
      </c>
      <c r="H58" s="20"/>
      <c r="I58" s="20"/>
      <c r="J58" s="19"/>
      <c r="K58" s="18"/>
      <c r="L58" s="18"/>
      <c r="M58" s="20"/>
      <c r="N58" s="20"/>
      <c r="O58" s="20"/>
      <c r="Q58" s="18"/>
      <c r="R58" s="18"/>
      <c r="AF58"/>
    </row>
    <row r="59" spans="1:32" x14ac:dyDescent="0.3">
      <c r="A59" s="137" t="s">
        <v>3</v>
      </c>
      <c r="B59" s="180">
        <f t="shared" si="0"/>
        <v>17</v>
      </c>
      <c r="C59" s="133">
        <f t="shared" si="1"/>
        <v>68</v>
      </c>
      <c r="D59" s="106">
        <f t="shared" si="2"/>
        <v>26</v>
      </c>
      <c r="E59" s="133">
        <f t="shared" si="3"/>
        <v>74.285714285714292</v>
      </c>
      <c r="F59" s="106">
        <f>SUM(B16:F16,B40,F40,G40)</f>
        <v>28</v>
      </c>
      <c r="G59" s="181">
        <f t="shared" ref="G59:G62" si="4">F59*100/40</f>
        <v>70</v>
      </c>
      <c r="H59" s="20"/>
      <c r="I59" s="20"/>
      <c r="J59" s="19"/>
      <c r="K59" s="18"/>
      <c r="L59" s="18"/>
      <c r="M59" s="20"/>
      <c r="N59" s="20"/>
      <c r="O59" s="20"/>
      <c r="Q59" s="18"/>
      <c r="R59" s="18"/>
      <c r="AF59"/>
    </row>
    <row r="60" spans="1:32" x14ac:dyDescent="0.3">
      <c r="A60" s="137" t="s">
        <v>4</v>
      </c>
      <c r="B60" s="180">
        <f t="shared" si="0"/>
        <v>17</v>
      </c>
      <c r="C60" s="133">
        <f t="shared" si="1"/>
        <v>68</v>
      </c>
      <c r="D60" s="106">
        <f t="shared" si="2"/>
        <v>26</v>
      </c>
      <c r="E60" s="133">
        <f t="shared" si="3"/>
        <v>74.285714285714292</v>
      </c>
      <c r="F60" s="106">
        <f>SUM(B17:F17,B41,F41,G41)</f>
        <v>30</v>
      </c>
      <c r="G60" s="181">
        <f t="shared" si="4"/>
        <v>75</v>
      </c>
      <c r="H60" s="20"/>
      <c r="I60" s="20"/>
      <c r="J60" s="19"/>
      <c r="K60" s="18"/>
      <c r="L60" s="18"/>
      <c r="M60" s="20"/>
      <c r="N60" s="20"/>
      <c r="O60" s="20"/>
      <c r="Q60" s="18"/>
      <c r="R60" s="18"/>
      <c r="AF60"/>
    </row>
    <row r="61" spans="1:32" x14ac:dyDescent="0.3">
      <c r="A61" s="137" t="s">
        <v>0</v>
      </c>
      <c r="B61" s="180">
        <f t="shared" si="0"/>
        <v>18</v>
      </c>
      <c r="C61" s="133">
        <f>B61*100/25</f>
        <v>72</v>
      </c>
      <c r="D61" s="106">
        <f t="shared" si="2"/>
        <v>27</v>
      </c>
      <c r="E61" s="133">
        <f t="shared" si="3"/>
        <v>77.142857142857139</v>
      </c>
      <c r="F61" s="106">
        <f>SUM(B18:F18,B42,F42,G42)</f>
        <v>25</v>
      </c>
      <c r="G61" s="181">
        <f t="shared" si="4"/>
        <v>62.5</v>
      </c>
      <c r="H61" s="20"/>
      <c r="I61" s="20"/>
      <c r="J61" s="19"/>
      <c r="K61" s="18"/>
      <c r="L61" s="18"/>
      <c r="M61" s="20"/>
      <c r="N61" s="20"/>
      <c r="O61" s="20"/>
      <c r="Q61" s="18"/>
      <c r="R61" s="18"/>
      <c r="AF61"/>
    </row>
    <row r="62" spans="1:32" x14ac:dyDescent="0.3">
      <c r="A62" s="137" t="s">
        <v>21</v>
      </c>
      <c r="B62" s="180">
        <f t="shared" si="0"/>
        <v>10</v>
      </c>
      <c r="C62" s="133">
        <f t="shared" si="1"/>
        <v>40</v>
      </c>
      <c r="D62" s="106">
        <f t="shared" si="2"/>
        <v>19</v>
      </c>
      <c r="E62" s="133">
        <f>D62*100/35</f>
        <v>54.285714285714285</v>
      </c>
      <c r="F62" s="106">
        <f>SUM(B19:F19,B43,F43,G43)</f>
        <v>21</v>
      </c>
      <c r="G62" s="181">
        <f t="shared" si="4"/>
        <v>52.5</v>
      </c>
      <c r="H62" s="20"/>
      <c r="I62" s="20"/>
      <c r="J62" s="19"/>
      <c r="K62" s="19"/>
      <c r="M62" s="20"/>
      <c r="N62" s="20"/>
      <c r="O62" s="20"/>
      <c r="Q62" s="18"/>
      <c r="R62" s="18"/>
      <c r="AF62"/>
    </row>
    <row r="63" spans="1:32" s="30" customFormat="1" x14ac:dyDescent="0.3">
      <c r="A63" s="130"/>
      <c r="B63" s="130"/>
      <c r="C63" s="130"/>
      <c r="D63" s="131"/>
      <c r="E63" s="131"/>
      <c r="F63" s="131"/>
      <c r="G63" s="132"/>
      <c r="H63" s="26"/>
      <c r="I63" s="26"/>
      <c r="J63" s="25"/>
      <c r="K63" s="25"/>
      <c r="L63" s="26"/>
      <c r="M63" s="26"/>
      <c r="N63" s="25"/>
      <c r="O63" s="25"/>
      <c r="P63" s="25"/>
      <c r="Q63" s="27"/>
      <c r="R63" s="27"/>
      <c r="S63" s="27"/>
      <c r="T63" s="27"/>
      <c r="U63" s="28"/>
      <c r="V63" s="29"/>
      <c r="W63" s="29"/>
      <c r="X63" s="29"/>
      <c r="Y63" s="29"/>
      <c r="Z63" s="29"/>
      <c r="AA63" s="29"/>
      <c r="AB63" s="29"/>
      <c r="AC63" s="29"/>
      <c r="AD63" s="29"/>
      <c r="AE63" s="29"/>
    </row>
    <row r="64" spans="1:32" s="30" customFormat="1" x14ac:dyDescent="0.3">
      <c r="A64" s="130"/>
      <c r="B64" s="130"/>
      <c r="C64" s="130"/>
      <c r="D64" s="131"/>
      <c r="E64" s="131"/>
      <c r="F64" s="131"/>
      <c r="G64" s="132"/>
      <c r="H64" s="26"/>
      <c r="I64" s="26"/>
      <c r="J64" s="25"/>
      <c r="K64" s="25"/>
      <c r="L64" s="26"/>
      <c r="M64" s="26"/>
      <c r="N64" s="25"/>
      <c r="O64" s="25"/>
      <c r="P64" s="25"/>
      <c r="Q64" s="27"/>
      <c r="R64" s="27"/>
      <c r="S64" s="27"/>
      <c r="T64" s="27"/>
      <c r="U64" s="28"/>
      <c r="V64" s="29"/>
      <c r="W64" s="29"/>
      <c r="X64" s="29"/>
      <c r="Y64" s="29"/>
      <c r="Z64" s="29"/>
      <c r="AA64" s="29"/>
      <c r="AB64" s="29"/>
      <c r="AC64" s="29"/>
      <c r="AD64" s="29"/>
      <c r="AE64" s="29"/>
    </row>
    <row r="65" spans="1:31" s="30" customFormat="1" x14ac:dyDescent="0.3">
      <c r="A65" s="130"/>
      <c r="B65" s="130"/>
      <c r="C65" s="130"/>
      <c r="D65" s="131"/>
      <c r="E65" s="131"/>
      <c r="F65" s="131"/>
      <c r="G65" s="132"/>
      <c r="H65" s="26"/>
      <c r="I65" s="26"/>
      <c r="J65" s="25"/>
      <c r="K65" s="25"/>
      <c r="L65" s="26"/>
      <c r="M65" s="26"/>
      <c r="N65" s="25"/>
      <c r="O65" s="25"/>
      <c r="P65" s="25"/>
      <c r="Q65" s="27"/>
      <c r="R65" s="27"/>
      <c r="S65" s="27"/>
      <c r="T65" s="27"/>
      <c r="U65" s="28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s="30" customFormat="1" x14ac:dyDescent="0.3">
      <c r="A66" s="134"/>
      <c r="B66" s="132"/>
      <c r="C66" s="135"/>
      <c r="D66" s="136"/>
      <c r="E66" s="132"/>
      <c r="F66" s="132"/>
      <c r="G66" s="132"/>
      <c r="H66" s="25"/>
      <c r="I66" s="25"/>
      <c r="J66" s="26"/>
      <c r="K66" s="26"/>
      <c r="L66" s="26"/>
      <c r="M66" s="25"/>
      <c r="N66" s="25"/>
      <c r="O66" s="25"/>
      <c r="P66" s="25"/>
      <c r="Q66" s="27"/>
      <c r="R66" s="27"/>
      <c r="S66" s="27"/>
      <c r="T66" s="27"/>
      <c r="U66" s="28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1:31" s="30" customFormat="1" x14ac:dyDescent="0.3">
      <c r="A67" s="134"/>
      <c r="B67" s="132"/>
      <c r="C67" s="135"/>
      <c r="D67" s="136"/>
      <c r="E67" s="132"/>
      <c r="F67" s="132"/>
      <c r="G67" s="132"/>
      <c r="H67" s="25"/>
      <c r="I67" s="25"/>
      <c r="J67" s="26"/>
      <c r="K67" s="26"/>
      <c r="L67" s="26"/>
      <c r="M67" s="25"/>
      <c r="N67" s="25"/>
      <c r="O67" s="25"/>
      <c r="P67" s="25"/>
      <c r="Q67" s="27"/>
      <c r="R67" s="27"/>
      <c r="S67" s="27"/>
      <c r="T67" s="27"/>
      <c r="U67" s="28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1:31" s="30" customFormat="1" x14ac:dyDescent="0.3">
      <c r="A68" s="134"/>
      <c r="B68" s="132"/>
      <c r="C68" s="135"/>
      <c r="D68" s="136"/>
      <c r="E68" s="132"/>
      <c r="F68" s="132"/>
      <c r="G68" s="132"/>
      <c r="H68" s="25"/>
      <c r="I68" s="25"/>
      <c r="J68" s="26"/>
      <c r="K68" s="26"/>
      <c r="L68" s="26"/>
      <c r="M68" s="25"/>
      <c r="N68" s="25"/>
      <c r="O68" s="25"/>
      <c r="P68" s="25"/>
      <c r="Q68" s="27"/>
      <c r="R68" s="27"/>
      <c r="S68" s="27"/>
      <c r="T68" s="27"/>
      <c r="U68" s="28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1:31" s="30" customFormat="1" x14ac:dyDescent="0.3">
      <c r="A69" s="130"/>
      <c r="B69" s="130"/>
      <c r="C69" s="130"/>
      <c r="D69" s="131"/>
      <c r="E69" s="131"/>
      <c r="F69" s="131"/>
      <c r="G69" s="132"/>
      <c r="H69" s="26"/>
      <c r="I69" s="26"/>
      <c r="J69" s="25"/>
      <c r="K69" s="25"/>
      <c r="L69" s="26"/>
      <c r="M69" s="26"/>
      <c r="N69" s="25"/>
      <c r="O69" s="25"/>
      <c r="P69" s="25"/>
      <c r="Q69" s="27"/>
      <c r="R69" s="27"/>
      <c r="S69" s="27"/>
      <c r="T69" s="27"/>
      <c r="U69" s="28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1:31" s="30" customFormat="1" x14ac:dyDescent="0.3">
      <c r="A70" s="130"/>
      <c r="B70" s="130"/>
      <c r="C70" s="130"/>
      <c r="D70" s="131"/>
      <c r="E70" s="131"/>
      <c r="F70" s="131"/>
      <c r="G70" s="132"/>
      <c r="H70" s="26"/>
      <c r="I70" s="26"/>
      <c r="J70" s="25"/>
      <c r="K70" s="25"/>
      <c r="L70" s="26"/>
      <c r="M70" s="26"/>
      <c r="N70" s="25"/>
      <c r="O70" s="25"/>
      <c r="P70" s="25"/>
      <c r="Q70" s="27"/>
      <c r="R70" s="27"/>
      <c r="S70" s="27"/>
      <c r="T70" s="27"/>
      <c r="U70" s="28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1:31" s="30" customFormat="1" x14ac:dyDescent="0.3">
      <c r="A71" s="130"/>
      <c r="B71" s="130"/>
      <c r="C71" s="130"/>
      <c r="D71" s="131"/>
      <c r="E71" s="131"/>
      <c r="F71" s="131"/>
      <c r="G71" s="132"/>
      <c r="H71" s="26"/>
      <c r="I71" s="26"/>
      <c r="J71" s="25"/>
      <c r="K71" s="25"/>
      <c r="L71" s="26"/>
      <c r="M71" s="26"/>
      <c r="N71" s="25"/>
      <c r="O71" s="25"/>
      <c r="P71" s="25"/>
      <c r="Q71" s="27"/>
      <c r="R71" s="27"/>
      <c r="S71" s="27"/>
      <c r="T71" s="27"/>
      <c r="U71" s="28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 spans="1:31" s="30" customFormat="1" x14ac:dyDescent="0.3">
      <c r="A72" s="134"/>
      <c r="B72" s="132"/>
      <c r="C72" s="135"/>
      <c r="D72" s="136"/>
      <c r="E72" s="132"/>
      <c r="F72" s="132"/>
      <c r="G72" s="132"/>
      <c r="H72" s="25"/>
      <c r="I72" s="25"/>
      <c r="J72" s="26"/>
      <c r="K72" s="26"/>
      <c r="L72" s="26"/>
      <c r="M72" s="25"/>
      <c r="N72" s="25"/>
      <c r="O72" s="25"/>
      <c r="P72" s="25"/>
      <c r="Q72" s="27"/>
      <c r="R72" s="27"/>
      <c r="S72" s="27"/>
      <c r="T72" s="27"/>
      <c r="U72" s="28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1:31" s="30" customFormat="1" x14ac:dyDescent="0.3">
      <c r="A73" s="134"/>
      <c r="B73" s="132"/>
      <c r="C73" s="135"/>
      <c r="D73" s="136"/>
      <c r="E73" s="132"/>
      <c r="F73" s="132"/>
      <c r="G73" s="132"/>
      <c r="H73" s="25"/>
      <c r="I73" s="25"/>
      <c r="J73" s="26"/>
      <c r="K73" s="26"/>
      <c r="L73" s="26"/>
      <c r="M73" s="25"/>
      <c r="N73" s="25"/>
      <c r="O73" s="25"/>
      <c r="P73" s="25"/>
      <c r="Q73" s="27"/>
      <c r="R73" s="27"/>
      <c r="S73" s="27"/>
      <c r="T73" s="27"/>
      <c r="U73" s="28"/>
      <c r="V73" s="29"/>
      <c r="W73" s="29"/>
      <c r="X73" s="29"/>
      <c r="Y73" s="29"/>
      <c r="Z73" s="29"/>
      <c r="AA73" s="29"/>
      <c r="AB73" s="29"/>
      <c r="AC73" s="29"/>
      <c r="AD73" s="29"/>
      <c r="AE73" s="29"/>
    </row>
    <row r="74" spans="1:31" s="30" customFormat="1" x14ac:dyDescent="0.3">
      <c r="A74" s="134"/>
      <c r="B74" s="132"/>
      <c r="C74" s="135"/>
      <c r="D74" s="136"/>
      <c r="E74" s="132"/>
      <c r="F74" s="132"/>
      <c r="G74" s="132"/>
      <c r="H74" s="25"/>
      <c r="I74" s="25"/>
      <c r="J74" s="26"/>
      <c r="K74" s="26"/>
      <c r="L74" s="26"/>
      <c r="M74" s="25"/>
      <c r="N74" s="25"/>
      <c r="O74" s="25"/>
      <c r="P74" s="25"/>
      <c r="Q74" s="27"/>
      <c r="R74" s="27"/>
      <c r="S74" s="27"/>
      <c r="T74" s="27"/>
      <c r="U74" s="28"/>
      <c r="V74" s="29"/>
      <c r="W74" s="29"/>
      <c r="X74" s="29"/>
      <c r="Y74" s="29"/>
      <c r="Z74" s="29"/>
      <c r="AA74" s="29"/>
      <c r="AB74" s="29"/>
      <c r="AC74" s="29"/>
      <c r="AD74" s="29"/>
      <c r="AE74" s="29"/>
    </row>
    <row r="75" spans="1:31" s="30" customFormat="1" x14ac:dyDescent="0.3">
      <c r="A75" s="130"/>
      <c r="B75" s="130"/>
      <c r="C75" s="130"/>
      <c r="D75" s="131"/>
      <c r="E75" s="131"/>
      <c r="F75" s="131"/>
      <c r="G75" s="132"/>
      <c r="H75" s="26"/>
      <c r="I75" s="26"/>
      <c r="J75" s="25"/>
      <c r="K75" s="25"/>
      <c r="L75" s="26"/>
      <c r="M75" s="26"/>
      <c r="N75" s="25"/>
      <c r="O75" s="25"/>
      <c r="P75" s="25"/>
      <c r="Q75" s="27"/>
      <c r="R75" s="27"/>
      <c r="S75" s="27"/>
      <c r="T75" s="27"/>
      <c r="U75" s="28"/>
      <c r="V75" s="29"/>
      <c r="W75" s="29"/>
      <c r="X75" s="29"/>
      <c r="Y75" s="29"/>
      <c r="Z75" s="29"/>
      <c r="AA75" s="29"/>
      <c r="AB75" s="29"/>
      <c r="AC75" s="29"/>
      <c r="AD75" s="29"/>
      <c r="AE75" s="29"/>
    </row>
    <row r="76" spans="1:31" s="30" customFormat="1" x14ac:dyDescent="0.3">
      <c r="A76" s="130"/>
      <c r="B76" s="130"/>
      <c r="C76" s="130"/>
      <c r="D76" s="131"/>
      <c r="E76" s="131"/>
      <c r="F76" s="131"/>
      <c r="G76" s="132"/>
      <c r="H76" s="26"/>
      <c r="I76" s="26"/>
      <c r="J76" s="25"/>
      <c r="K76" s="25"/>
      <c r="L76" s="26"/>
      <c r="M76" s="26"/>
      <c r="N76" s="25"/>
      <c r="O76" s="25"/>
      <c r="P76" s="25"/>
      <c r="Q76" s="27"/>
      <c r="R76" s="27"/>
      <c r="S76" s="27"/>
      <c r="T76" s="27"/>
      <c r="U76" s="28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30" customFormat="1" x14ac:dyDescent="0.3">
      <c r="A77" s="134"/>
      <c r="B77" s="132"/>
      <c r="C77" s="135"/>
      <c r="D77" s="136"/>
      <c r="E77" s="132"/>
      <c r="F77" s="132"/>
      <c r="G77" s="132"/>
      <c r="H77" s="25"/>
      <c r="I77" s="25"/>
      <c r="J77" s="26"/>
      <c r="K77" s="26"/>
      <c r="L77" s="26"/>
      <c r="M77" s="25"/>
      <c r="N77" s="25"/>
      <c r="O77" s="25"/>
      <c r="P77" s="25"/>
      <c r="Q77" s="27"/>
      <c r="R77" s="27"/>
      <c r="S77" s="27"/>
      <c r="T77" s="27"/>
      <c r="U77" s="28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s="30" customFormat="1" x14ac:dyDescent="0.3">
      <c r="A78" s="134"/>
      <c r="B78" s="132"/>
      <c r="C78" s="135"/>
      <c r="D78" s="136"/>
      <c r="E78" s="132"/>
      <c r="F78" s="132"/>
      <c r="G78" s="132"/>
      <c r="H78" s="25"/>
      <c r="I78" s="25"/>
      <c r="J78" s="26"/>
      <c r="K78" s="26"/>
      <c r="L78" s="26"/>
      <c r="M78" s="25"/>
      <c r="N78" s="25"/>
      <c r="O78" s="25"/>
      <c r="P78" s="25"/>
      <c r="Q78" s="27"/>
      <c r="R78" s="27"/>
      <c r="S78" s="27"/>
      <c r="T78" s="27"/>
      <c r="U78" s="28"/>
      <c r="V78" s="29"/>
      <c r="W78" s="29"/>
      <c r="X78" s="29"/>
      <c r="Y78" s="29"/>
      <c r="Z78" s="29"/>
      <c r="AA78" s="29"/>
      <c r="AB78" s="29"/>
      <c r="AC78" s="29"/>
      <c r="AD78" s="29"/>
      <c r="AE78" s="29"/>
    </row>
    <row r="79" spans="1:31" s="30" customFormat="1" x14ac:dyDescent="0.3">
      <c r="A79" s="130"/>
      <c r="B79" s="130"/>
      <c r="C79" s="130"/>
      <c r="D79" s="131"/>
      <c r="E79" s="131"/>
      <c r="F79" s="131"/>
      <c r="G79" s="132"/>
      <c r="H79" s="26"/>
      <c r="I79" s="26"/>
      <c r="J79" s="25"/>
      <c r="K79" s="25"/>
      <c r="L79" s="26"/>
      <c r="M79" s="26"/>
      <c r="N79" s="25"/>
      <c r="O79" s="25"/>
      <c r="P79" s="25"/>
      <c r="Q79" s="27"/>
      <c r="R79" s="27"/>
      <c r="S79" s="27"/>
      <c r="T79" s="27"/>
      <c r="U79" s="28"/>
      <c r="V79" s="29"/>
      <c r="W79" s="29"/>
      <c r="X79" s="29"/>
      <c r="Y79" s="29"/>
      <c r="Z79" s="29"/>
      <c r="AA79" s="29"/>
      <c r="AB79" s="29"/>
      <c r="AC79" s="29"/>
      <c r="AD79" s="29"/>
      <c r="AE79" s="29"/>
    </row>
    <row r="80" spans="1:31" s="30" customFormat="1" x14ac:dyDescent="0.3">
      <c r="A80" s="130"/>
      <c r="B80" s="130"/>
      <c r="C80" s="130"/>
      <c r="D80" s="131"/>
      <c r="E80" s="131"/>
      <c r="F80" s="131"/>
      <c r="G80" s="132"/>
      <c r="H80" s="26"/>
      <c r="I80" s="26"/>
      <c r="J80" s="25"/>
      <c r="K80" s="25"/>
      <c r="L80" s="26"/>
      <c r="M80" s="26"/>
      <c r="N80" s="25"/>
      <c r="O80" s="25"/>
      <c r="P80" s="25"/>
      <c r="Q80" s="27"/>
      <c r="R80" s="27"/>
      <c r="S80" s="27"/>
      <c r="T80" s="27"/>
      <c r="U80" s="28"/>
      <c r="V80" s="29"/>
      <c r="W80" s="29"/>
      <c r="X80" s="29"/>
      <c r="Y80" s="29"/>
      <c r="Z80" s="29"/>
      <c r="AA80" s="29"/>
      <c r="AB80" s="29"/>
      <c r="AC80" s="29"/>
      <c r="AD80" s="29"/>
      <c r="AE80" s="29"/>
    </row>
    <row r="81" spans="1:32" s="30" customFormat="1" x14ac:dyDescent="0.3">
      <c r="A81" s="130"/>
      <c r="B81" s="130"/>
      <c r="C81" s="130"/>
      <c r="D81" s="131"/>
      <c r="E81" s="131"/>
      <c r="F81" s="131"/>
      <c r="G81" s="132"/>
      <c r="H81" s="26"/>
      <c r="I81" s="26"/>
      <c r="J81" s="25"/>
      <c r="K81" s="25"/>
      <c r="L81" s="26"/>
      <c r="M81" s="26"/>
      <c r="N81" s="25"/>
      <c r="O81" s="25"/>
      <c r="P81" s="25"/>
      <c r="Q81" s="27"/>
      <c r="R81" s="27"/>
      <c r="S81" s="27"/>
      <c r="T81" s="27"/>
      <c r="U81" s="28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2" s="30" customFormat="1" x14ac:dyDescent="0.3">
      <c r="A82" s="134"/>
      <c r="B82" s="132"/>
      <c r="C82" s="135"/>
      <c r="D82" s="136"/>
      <c r="E82" s="132"/>
      <c r="F82" s="132"/>
      <c r="G82" s="132"/>
      <c r="H82" s="25"/>
      <c r="I82" s="25"/>
      <c r="J82" s="26"/>
      <c r="K82" s="26"/>
      <c r="L82" s="26"/>
      <c r="M82" s="25"/>
      <c r="N82" s="25"/>
      <c r="O82" s="25"/>
      <c r="P82" s="25"/>
      <c r="Q82" s="27"/>
      <c r="R82" s="27"/>
      <c r="S82" s="27"/>
      <c r="T82" s="27"/>
      <c r="U82" s="28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2" s="30" customFormat="1" x14ac:dyDescent="0.3">
      <c r="A83" s="134"/>
      <c r="B83" s="132"/>
      <c r="C83" s="135"/>
      <c r="D83" s="136"/>
      <c r="E83" s="132"/>
      <c r="F83" s="132"/>
      <c r="G83" s="132"/>
      <c r="H83" s="25"/>
      <c r="I83" s="25"/>
      <c r="J83" s="26"/>
      <c r="K83" s="26"/>
      <c r="L83" s="26"/>
      <c r="M83" s="25"/>
      <c r="N83" s="25"/>
      <c r="O83" s="25"/>
      <c r="P83" s="25"/>
      <c r="Q83" s="27"/>
      <c r="R83" s="27"/>
      <c r="S83" s="27"/>
      <c r="T83" s="27"/>
      <c r="U83" s="28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2" s="30" customFormat="1" ht="19.5" thickBot="1" x14ac:dyDescent="0.35">
      <c r="A84" s="134"/>
      <c r="B84" s="132"/>
      <c r="C84" s="135"/>
      <c r="D84" s="136"/>
      <c r="E84" s="132"/>
      <c r="F84" s="132"/>
      <c r="G84" s="132"/>
      <c r="H84" s="25"/>
      <c r="I84" s="25"/>
      <c r="J84" s="26"/>
      <c r="K84" s="26"/>
      <c r="L84" s="26"/>
      <c r="M84" s="25"/>
      <c r="N84" s="25"/>
      <c r="O84" s="25"/>
      <c r="P84" s="25"/>
      <c r="Q84" s="27"/>
      <c r="R84" s="27"/>
      <c r="S84" s="27"/>
      <c r="T84" s="27"/>
      <c r="U84" s="28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2" x14ac:dyDescent="0.3">
      <c r="A85" s="481" t="s">
        <v>124</v>
      </c>
      <c r="B85" s="454" t="s">
        <v>125</v>
      </c>
      <c r="C85" s="455"/>
      <c r="D85" s="455"/>
      <c r="E85" s="455"/>
      <c r="F85" s="456"/>
      <c r="G85" s="85"/>
      <c r="H85" s="20"/>
      <c r="I85" s="20"/>
      <c r="J85" s="18"/>
      <c r="K85" s="19"/>
      <c r="M85" s="20"/>
      <c r="N85" s="20"/>
      <c r="O85" s="20"/>
      <c r="Q85" s="18"/>
      <c r="R85" s="18"/>
      <c r="AF85"/>
    </row>
    <row r="86" spans="1:32" x14ac:dyDescent="0.3">
      <c r="A86" s="482"/>
      <c r="B86" s="457"/>
      <c r="C86" s="458"/>
      <c r="D86" s="458"/>
      <c r="E86" s="458"/>
      <c r="F86" s="459"/>
      <c r="G86" s="85"/>
      <c r="H86" s="20"/>
      <c r="I86" s="20"/>
      <c r="J86" s="19"/>
      <c r="K86" s="19"/>
      <c r="M86" s="20"/>
      <c r="N86" s="20"/>
      <c r="O86" s="20"/>
      <c r="Q86" s="18"/>
      <c r="R86" s="18"/>
      <c r="AF86"/>
    </row>
    <row r="87" spans="1:32" x14ac:dyDescent="0.3">
      <c r="A87" s="483">
        <v>1</v>
      </c>
      <c r="B87" s="451" t="s">
        <v>27</v>
      </c>
      <c r="C87" s="451"/>
      <c r="D87" s="451"/>
      <c r="E87" s="451"/>
      <c r="F87" s="452"/>
      <c r="G87" s="85"/>
      <c r="H87" s="20"/>
      <c r="I87" s="20"/>
      <c r="J87" s="19"/>
      <c r="K87" s="19"/>
      <c r="M87" s="20"/>
      <c r="N87" s="20"/>
      <c r="O87" s="20"/>
      <c r="Q87" s="18"/>
      <c r="R87" s="18"/>
      <c r="AF87"/>
    </row>
    <row r="88" spans="1:32" x14ac:dyDescent="0.3">
      <c r="A88" s="483"/>
      <c r="B88" s="436" t="s">
        <v>74</v>
      </c>
      <c r="C88" s="436"/>
      <c r="D88" s="436"/>
      <c r="E88" s="137">
        <v>1</v>
      </c>
      <c r="F88" s="138" t="s">
        <v>11</v>
      </c>
      <c r="G88" s="85"/>
      <c r="H88" s="20"/>
      <c r="I88" s="20"/>
      <c r="J88" s="19"/>
      <c r="K88" s="19"/>
      <c r="M88" s="20"/>
      <c r="N88" s="20"/>
      <c r="O88" s="20"/>
      <c r="Q88" s="18"/>
      <c r="R88" s="18"/>
      <c r="AF88"/>
    </row>
    <row r="89" spans="1:32" x14ac:dyDescent="0.3">
      <c r="A89" s="483"/>
      <c r="B89" s="436" t="s">
        <v>75</v>
      </c>
      <c r="C89" s="436"/>
      <c r="D89" s="436"/>
      <c r="E89" s="137">
        <v>2</v>
      </c>
      <c r="F89" s="138" t="s">
        <v>8</v>
      </c>
      <c r="G89" s="85"/>
      <c r="H89" s="20"/>
      <c r="I89" s="20"/>
      <c r="J89" s="19"/>
      <c r="K89" s="19"/>
      <c r="M89" s="20"/>
      <c r="N89" s="20"/>
      <c r="O89" s="20"/>
      <c r="Q89" s="18"/>
      <c r="R89" s="18"/>
      <c r="AF89"/>
    </row>
    <row r="90" spans="1:32" x14ac:dyDescent="0.3">
      <c r="A90" s="483"/>
      <c r="B90" s="436" t="s">
        <v>76</v>
      </c>
      <c r="C90" s="436"/>
      <c r="D90" s="436"/>
      <c r="E90" s="137">
        <v>3</v>
      </c>
      <c r="F90" s="138" t="s">
        <v>6</v>
      </c>
      <c r="G90" s="85"/>
      <c r="H90" s="20"/>
      <c r="I90" s="20"/>
      <c r="J90" s="19"/>
      <c r="K90" s="19"/>
      <c r="M90" s="20"/>
      <c r="N90" s="20"/>
      <c r="O90" s="20"/>
      <c r="Q90" s="18"/>
      <c r="R90" s="18"/>
      <c r="AF90"/>
    </row>
    <row r="91" spans="1:32" x14ac:dyDescent="0.3">
      <c r="A91" s="483"/>
      <c r="B91" s="436" t="s">
        <v>77</v>
      </c>
      <c r="C91" s="436"/>
      <c r="D91" s="436"/>
      <c r="E91" s="137">
        <v>4</v>
      </c>
      <c r="F91" s="138" t="s">
        <v>7</v>
      </c>
      <c r="G91" s="85"/>
      <c r="H91" s="20"/>
      <c r="I91" s="20"/>
      <c r="J91" s="19"/>
      <c r="K91" s="19"/>
      <c r="M91" s="20"/>
      <c r="N91" s="20"/>
      <c r="O91" s="20"/>
      <c r="Q91" s="18"/>
      <c r="R91" s="18"/>
      <c r="AF91"/>
    </row>
    <row r="92" spans="1:32" x14ac:dyDescent="0.3">
      <c r="A92" s="483"/>
      <c r="B92" s="436" t="s">
        <v>78</v>
      </c>
      <c r="C92" s="436"/>
      <c r="D92" s="436"/>
      <c r="E92" s="137">
        <v>5</v>
      </c>
      <c r="F92" s="138" t="s">
        <v>12</v>
      </c>
      <c r="G92" s="85"/>
      <c r="H92" s="20"/>
      <c r="I92" s="20"/>
      <c r="J92" s="19"/>
      <c r="K92" s="19"/>
      <c r="M92" s="20"/>
      <c r="N92" s="20"/>
      <c r="O92" s="20"/>
      <c r="Q92" s="18"/>
      <c r="R92" s="18"/>
      <c r="AF92"/>
    </row>
    <row r="93" spans="1:32" x14ac:dyDescent="0.3">
      <c r="A93" s="483">
        <v>2</v>
      </c>
      <c r="B93" s="438" t="s">
        <v>51</v>
      </c>
      <c r="C93" s="439"/>
      <c r="D93" s="439"/>
      <c r="E93" s="439"/>
      <c r="F93" s="440"/>
      <c r="G93" s="85"/>
      <c r="H93" s="20"/>
      <c r="I93" s="20"/>
      <c r="J93" s="19"/>
      <c r="K93" s="19"/>
      <c r="M93" s="20"/>
      <c r="N93" s="20"/>
      <c r="O93" s="20"/>
      <c r="Q93" s="18"/>
      <c r="R93" s="18"/>
      <c r="AF93"/>
    </row>
    <row r="94" spans="1:32" x14ac:dyDescent="0.3">
      <c r="A94" s="483"/>
      <c r="B94" s="436" t="s">
        <v>67</v>
      </c>
      <c r="C94" s="436"/>
      <c r="D94" s="436"/>
      <c r="E94" s="137">
        <v>1</v>
      </c>
      <c r="F94" s="138" t="s">
        <v>11</v>
      </c>
      <c r="G94" s="85"/>
      <c r="H94" s="20"/>
      <c r="I94" s="20"/>
      <c r="J94" s="19"/>
      <c r="K94" s="19"/>
      <c r="M94" s="20"/>
      <c r="N94" s="20"/>
      <c r="O94" s="20"/>
      <c r="Q94" s="18"/>
      <c r="R94" s="18"/>
      <c r="AF94"/>
    </row>
    <row r="95" spans="1:32" x14ac:dyDescent="0.3">
      <c r="A95" s="483"/>
      <c r="B95" s="436" t="s">
        <v>66</v>
      </c>
      <c r="C95" s="436"/>
      <c r="D95" s="436"/>
      <c r="E95" s="137">
        <v>2</v>
      </c>
      <c r="F95" s="138" t="s">
        <v>8</v>
      </c>
      <c r="G95" s="85"/>
      <c r="H95" s="20"/>
      <c r="I95" s="20"/>
      <c r="J95" s="19"/>
      <c r="K95" s="19"/>
      <c r="M95" s="20"/>
      <c r="N95" s="20"/>
      <c r="O95" s="20"/>
      <c r="Q95" s="18"/>
      <c r="R95" s="18"/>
      <c r="AF95"/>
    </row>
    <row r="96" spans="1:32" x14ac:dyDescent="0.3">
      <c r="A96" s="483"/>
      <c r="B96" s="436" t="s">
        <v>65</v>
      </c>
      <c r="C96" s="436"/>
      <c r="D96" s="436"/>
      <c r="E96" s="137">
        <v>3</v>
      </c>
      <c r="F96" s="138" t="s">
        <v>6</v>
      </c>
      <c r="G96" s="85"/>
      <c r="H96" s="20"/>
      <c r="I96" s="20"/>
      <c r="J96" s="19"/>
      <c r="K96" s="19"/>
      <c r="M96" s="21"/>
      <c r="N96" s="21"/>
      <c r="O96" s="20"/>
      <c r="R96" s="18"/>
      <c r="AF96"/>
    </row>
    <row r="97" spans="1:32" x14ac:dyDescent="0.3">
      <c r="A97" s="483"/>
      <c r="B97" s="436" t="s">
        <v>64</v>
      </c>
      <c r="C97" s="436"/>
      <c r="D97" s="436"/>
      <c r="E97" s="137">
        <v>4</v>
      </c>
      <c r="F97" s="138" t="s">
        <v>7</v>
      </c>
      <c r="G97" s="85"/>
      <c r="H97" s="20"/>
      <c r="I97" s="20"/>
      <c r="J97" s="19"/>
      <c r="K97" s="19"/>
      <c r="M97" s="21"/>
      <c r="N97" s="21"/>
      <c r="O97" s="20"/>
      <c r="R97" s="18"/>
      <c r="AF97"/>
    </row>
    <row r="98" spans="1:32" x14ac:dyDescent="0.3">
      <c r="A98" s="483"/>
      <c r="B98" s="436" t="s">
        <v>63</v>
      </c>
      <c r="C98" s="436"/>
      <c r="D98" s="436"/>
      <c r="E98" s="137">
        <v>5</v>
      </c>
      <c r="F98" s="138" t="s">
        <v>12</v>
      </c>
      <c r="G98" s="85"/>
      <c r="H98" s="20"/>
      <c r="I98" s="20"/>
      <c r="K98" s="19"/>
      <c r="M98" s="21"/>
      <c r="N98" s="21"/>
      <c r="O98" s="20"/>
      <c r="R98" s="18"/>
      <c r="AF98"/>
    </row>
    <row r="99" spans="1:32" x14ac:dyDescent="0.3">
      <c r="A99" s="463">
        <v>3</v>
      </c>
      <c r="B99" s="438" t="s">
        <v>52</v>
      </c>
      <c r="C99" s="439"/>
      <c r="D99" s="439"/>
      <c r="E99" s="439"/>
      <c r="F99" s="440"/>
      <c r="G99" s="85"/>
      <c r="H99" s="20"/>
      <c r="I99" s="20"/>
      <c r="K99" s="19"/>
      <c r="M99" s="21"/>
      <c r="N99" s="21"/>
      <c r="O99" s="20"/>
      <c r="R99" s="18"/>
      <c r="AF99"/>
    </row>
    <row r="100" spans="1:32" x14ac:dyDescent="0.3">
      <c r="A100" s="464"/>
      <c r="B100" s="436" t="s">
        <v>61</v>
      </c>
      <c r="C100" s="436"/>
      <c r="D100" s="436"/>
      <c r="E100" s="137">
        <v>1</v>
      </c>
      <c r="F100" s="138" t="s">
        <v>11</v>
      </c>
      <c r="G100" s="85"/>
      <c r="H100" s="20"/>
      <c r="I100" s="20"/>
      <c r="K100" s="19"/>
      <c r="M100" s="21"/>
      <c r="N100" s="21"/>
      <c r="O100" s="20"/>
      <c r="R100" s="18"/>
      <c r="AF100"/>
    </row>
    <row r="101" spans="1:32" x14ac:dyDescent="0.3">
      <c r="A101" s="464"/>
      <c r="B101" s="436" t="s">
        <v>58</v>
      </c>
      <c r="C101" s="436"/>
      <c r="D101" s="436"/>
      <c r="E101" s="137">
        <v>2</v>
      </c>
      <c r="F101" s="138" t="s">
        <v>8</v>
      </c>
      <c r="G101" s="85"/>
      <c r="H101" s="20"/>
      <c r="I101" s="20"/>
      <c r="K101" s="19"/>
      <c r="M101" s="21"/>
      <c r="N101" s="21"/>
      <c r="O101" s="20"/>
      <c r="R101" s="18"/>
      <c r="AF101"/>
    </row>
    <row r="102" spans="1:32" x14ac:dyDescent="0.3">
      <c r="A102" s="464"/>
      <c r="B102" s="436" t="s">
        <v>59</v>
      </c>
      <c r="C102" s="436"/>
      <c r="D102" s="436"/>
      <c r="E102" s="137">
        <v>3</v>
      </c>
      <c r="F102" s="138" t="s">
        <v>6</v>
      </c>
      <c r="G102" s="85"/>
      <c r="H102" s="20"/>
      <c r="I102" s="20"/>
      <c r="K102" s="19"/>
      <c r="M102" s="21"/>
      <c r="N102" s="21"/>
      <c r="O102" s="20"/>
      <c r="R102" s="18"/>
      <c r="AF102"/>
    </row>
    <row r="103" spans="1:32" x14ac:dyDescent="0.3">
      <c r="A103" s="464"/>
      <c r="B103" s="436" t="s">
        <v>60</v>
      </c>
      <c r="C103" s="436"/>
      <c r="D103" s="436"/>
      <c r="E103" s="137">
        <v>4</v>
      </c>
      <c r="F103" s="138" t="s">
        <v>7</v>
      </c>
      <c r="G103" s="85"/>
      <c r="H103" s="20"/>
      <c r="I103" s="20"/>
      <c r="K103" s="19"/>
      <c r="M103" s="21"/>
      <c r="N103" s="21"/>
      <c r="O103" s="20"/>
      <c r="R103" s="18"/>
      <c r="AF103"/>
    </row>
    <row r="104" spans="1:32" x14ac:dyDescent="0.3">
      <c r="A104" s="465"/>
      <c r="B104" s="436" t="s">
        <v>62</v>
      </c>
      <c r="C104" s="436"/>
      <c r="D104" s="436"/>
      <c r="E104" s="137">
        <v>5</v>
      </c>
      <c r="F104" s="138" t="s">
        <v>12</v>
      </c>
      <c r="G104" s="85"/>
      <c r="H104" s="20"/>
      <c r="I104" s="20"/>
      <c r="K104" s="19"/>
      <c r="M104" s="21"/>
      <c r="N104" s="21"/>
      <c r="O104" s="20"/>
      <c r="R104" s="18"/>
      <c r="AF104"/>
    </row>
    <row r="105" spans="1:32" x14ac:dyDescent="0.3">
      <c r="A105" s="450">
        <v>4</v>
      </c>
      <c r="B105" s="451" t="s">
        <v>16</v>
      </c>
      <c r="C105" s="451"/>
      <c r="D105" s="451"/>
      <c r="E105" s="451"/>
      <c r="F105" s="452"/>
      <c r="G105" s="85"/>
      <c r="H105" s="20"/>
      <c r="I105" s="20"/>
      <c r="K105" s="19"/>
      <c r="M105" s="20"/>
      <c r="N105" s="20"/>
      <c r="O105" s="20"/>
      <c r="Q105" s="18"/>
      <c r="R105" s="18"/>
      <c r="AF105"/>
    </row>
    <row r="106" spans="1:32" x14ac:dyDescent="0.3">
      <c r="A106" s="450"/>
      <c r="B106" s="436" t="s">
        <v>177</v>
      </c>
      <c r="C106" s="436"/>
      <c r="D106" s="436"/>
      <c r="E106" s="137">
        <v>1</v>
      </c>
      <c r="F106" s="138" t="s">
        <v>11</v>
      </c>
      <c r="G106" s="85"/>
      <c r="H106" s="20"/>
      <c r="I106" s="20"/>
      <c r="J106" s="19"/>
      <c r="K106" s="19"/>
      <c r="M106" s="21"/>
      <c r="N106" s="21"/>
      <c r="O106" s="20"/>
      <c r="R106" s="18"/>
      <c r="AF106"/>
    </row>
    <row r="107" spans="1:32" x14ac:dyDescent="0.3">
      <c r="A107" s="450"/>
      <c r="B107" s="436" t="s">
        <v>159</v>
      </c>
      <c r="C107" s="436"/>
      <c r="D107" s="436"/>
      <c r="E107" s="137">
        <v>2</v>
      </c>
      <c r="F107" s="138" t="s">
        <v>8</v>
      </c>
      <c r="G107" s="85"/>
      <c r="H107" s="20"/>
      <c r="I107" s="20"/>
      <c r="K107" s="19"/>
      <c r="M107" s="21"/>
      <c r="N107" s="21"/>
      <c r="O107" s="20"/>
      <c r="R107" s="18"/>
      <c r="AF107"/>
    </row>
    <row r="108" spans="1:32" x14ac:dyDescent="0.3">
      <c r="A108" s="450"/>
      <c r="B108" s="436" t="s">
        <v>160</v>
      </c>
      <c r="C108" s="436"/>
      <c r="D108" s="436"/>
      <c r="E108" s="137">
        <v>3</v>
      </c>
      <c r="F108" s="138" t="s">
        <v>6</v>
      </c>
      <c r="G108" s="85"/>
      <c r="H108" s="20"/>
      <c r="I108" s="20"/>
      <c r="K108" s="19"/>
      <c r="M108" s="21"/>
      <c r="N108" s="21"/>
      <c r="O108" s="20"/>
      <c r="R108" s="18"/>
      <c r="AF108"/>
    </row>
    <row r="109" spans="1:32" x14ac:dyDescent="0.3">
      <c r="A109" s="450"/>
      <c r="B109" s="436" t="s">
        <v>161</v>
      </c>
      <c r="C109" s="436"/>
      <c r="D109" s="436"/>
      <c r="E109" s="137">
        <v>4</v>
      </c>
      <c r="F109" s="138" t="s">
        <v>7</v>
      </c>
      <c r="G109" s="85"/>
      <c r="H109" s="20"/>
      <c r="I109" s="20"/>
      <c r="K109" s="19"/>
      <c r="M109" s="21"/>
      <c r="N109" s="21"/>
      <c r="O109" s="20"/>
      <c r="R109" s="18"/>
      <c r="AF109"/>
    </row>
    <row r="110" spans="1:32" ht="19.5" thickBot="1" x14ac:dyDescent="0.35">
      <c r="A110" s="466"/>
      <c r="B110" s="437" t="s">
        <v>162</v>
      </c>
      <c r="C110" s="437"/>
      <c r="D110" s="437"/>
      <c r="E110" s="409">
        <v>5</v>
      </c>
      <c r="F110" s="410" t="s">
        <v>12</v>
      </c>
      <c r="G110" s="85"/>
      <c r="H110" s="20"/>
      <c r="I110" s="20"/>
      <c r="K110" s="19"/>
      <c r="M110" s="21"/>
      <c r="N110" s="21"/>
      <c r="O110" s="20"/>
      <c r="R110" s="18"/>
      <c r="AF110"/>
    </row>
    <row r="111" spans="1:32" s="421" customFormat="1" x14ac:dyDescent="0.3">
      <c r="A111" s="411"/>
      <c r="B111" s="412"/>
      <c r="C111" s="412"/>
      <c r="D111" s="412"/>
      <c r="E111" s="413"/>
      <c r="F111" s="414"/>
      <c r="G111" s="413"/>
      <c r="H111" s="415"/>
      <c r="I111" s="415"/>
      <c r="J111" s="415"/>
      <c r="K111" s="416"/>
      <c r="L111" s="416"/>
      <c r="M111" s="417"/>
      <c r="N111" s="417"/>
      <c r="O111" s="415"/>
      <c r="P111" s="415"/>
      <c r="Q111" s="415"/>
      <c r="R111" s="418"/>
      <c r="S111" s="418"/>
      <c r="T111" s="418"/>
      <c r="U111" s="419"/>
      <c r="V111" s="420"/>
      <c r="W111" s="420"/>
      <c r="X111" s="420"/>
      <c r="Y111" s="420"/>
      <c r="Z111" s="420"/>
      <c r="AA111" s="420"/>
      <c r="AB111" s="420"/>
      <c r="AC111" s="420"/>
      <c r="AD111" s="420"/>
      <c r="AE111" s="420"/>
    </row>
    <row r="112" spans="1:32" s="421" customFormat="1" x14ac:dyDescent="0.3">
      <c r="A112" s="411"/>
      <c r="B112" s="412"/>
      <c r="C112" s="412"/>
      <c r="D112" s="412"/>
      <c r="E112" s="413"/>
      <c r="F112" s="414"/>
      <c r="G112" s="413"/>
      <c r="H112" s="415"/>
      <c r="I112" s="415"/>
      <c r="J112" s="415"/>
      <c r="K112" s="416"/>
      <c r="L112" s="416"/>
      <c r="M112" s="417"/>
      <c r="N112" s="417"/>
      <c r="O112" s="415"/>
      <c r="P112" s="415"/>
      <c r="Q112" s="415"/>
      <c r="R112" s="418"/>
      <c r="S112" s="418"/>
      <c r="T112" s="418"/>
      <c r="U112" s="419"/>
      <c r="V112" s="420"/>
      <c r="W112" s="420"/>
      <c r="X112" s="420"/>
      <c r="Y112" s="420"/>
      <c r="Z112" s="420"/>
      <c r="AA112" s="420"/>
      <c r="AB112" s="420"/>
      <c r="AC112" s="420"/>
      <c r="AD112" s="420"/>
      <c r="AE112" s="420"/>
    </row>
    <row r="113" spans="1:32" s="421" customFormat="1" x14ac:dyDescent="0.3">
      <c r="A113" s="411"/>
      <c r="B113" s="412"/>
      <c r="C113" s="412"/>
      <c r="D113" s="412"/>
      <c r="E113" s="413"/>
      <c r="F113" s="414"/>
      <c r="G113" s="413"/>
      <c r="H113" s="415"/>
      <c r="I113" s="415"/>
      <c r="J113" s="415"/>
      <c r="K113" s="416"/>
      <c r="L113" s="416"/>
      <c r="M113" s="417"/>
      <c r="N113" s="417"/>
      <c r="O113" s="415"/>
      <c r="P113" s="415"/>
      <c r="Q113" s="415"/>
      <c r="R113" s="418"/>
      <c r="S113" s="418"/>
      <c r="T113" s="418"/>
      <c r="U113" s="419"/>
      <c r="V113" s="420"/>
      <c r="W113" s="420"/>
      <c r="X113" s="420"/>
      <c r="Y113" s="420"/>
      <c r="Z113" s="420"/>
      <c r="AA113" s="420"/>
      <c r="AB113" s="420"/>
      <c r="AC113" s="420"/>
      <c r="AD113" s="420"/>
      <c r="AE113" s="420"/>
    </row>
    <row r="114" spans="1:32" s="421" customFormat="1" x14ac:dyDescent="0.3">
      <c r="A114" s="411"/>
      <c r="B114" s="412"/>
      <c r="C114" s="412"/>
      <c r="D114" s="412"/>
      <c r="E114" s="413"/>
      <c r="F114" s="414"/>
      <c r="G114" s="413"/>
      <c r="H114" s="415"/>
      <c r="I114" s="415"/>
      <c r="J114" s="415"/>
      <c r="K114" s="416"/>
      <c r="L114" s="416"/>
      <c r="M114" s="417"/>
      <c r="N114" s="417"/>
      <c r="O114" s="415"/>
      <c r="P114" s="415"/>
      <c r="Q114" s="415"/>
      <c r="R114" s="418"/>
      <c r="S114" s="418"/>
      <c r="T114" s="418"/>
      <c r="U114" s="419"/>
      <c r="V114" s="420"/>
      <c r="W114" s="420"/>
      <c r="X114" s="420"/>
      <c r="Y114" s="420"/>
      <c r="Z114" s="420"/>
      <c r="AA114" s="420"/>
      <c r="AB114" s="420"/>
      <c r="AC114" s="420"/>
      <c r="AD114" s="420"/>
      <c r="AE114" s="420"/>
    </row>
    <row r="115" spans="1:32" s="421" customFormat="1" x14ac:dyDescent="0.3">
      <c r="A115" s="411"/>
      <c r="B115" s="412"/>
      <c r="C115" s="412"/>
      <c r="D115" s="412"/>
      <c r="E115" s="413"/>
      <c r="F115" s="414"/>
      <c r="G115" s="413"/>
      <c r="H115" s="415"/>
      <c r="I115" s="415"/>
      <c r="J115" s="415"/>
      <c r="K115" s="416"/>
      <c r="L115" s="416"/>
      <c r="M115" s="417"/>
      <c r="N115" s="417"/>
      <c r="O115" s="415"/>
      <c r="P115" s="415"/>
      <c r="Q115" s="415"/>
      <c r="R115" s="418"/>
      <c r="S115" s="418"/>
      <c r="T115" s="418"/>
      <c r="U115" s="419"/>
      <c r="V115" s="420"/>
      <c r="W115" s="420"/>
      <c r="X115" s="420"/>
      <c r="Y115" s="420"/>
      <c r="Z115" s="420"/>
      <c r="AA115" s="420"/>
      <c r="AB115" s="420"/>
      <c r="AC115" s="420"/>
      <c r="AD115" s="420"/>
      <c r="AE115" s="420"/>
    </row>
    <row r="116" spans="1:32" s="421" customFormat="1" ht="19.5" thickBot="1" x14ac:dyDescent="0.35">
      <c r="A116" s="411"/>
      <c r="B116" s="412"/>
      <c r="C116" s="412"/>
      <c r="D116" s="412"/>
      <c r="E116" s="413"/>
      <c r="F116" s="414"/>
      <c r="G116" s="413"/>
      <c r="H116" s="415"/>
      <c r="I116" s="415"/>
      <c r="J116" s="415"/>
      <c r="K116" s="416"/>
      <c r="L116" s="416"/>
      <c r="M116" s="417"/>
      <c r="N116" s="417"/>
      <c r="O116" s="415"/>
      <c r="P116" s="415"/>
      <c r="Q116" s="415"/>
      <c r="R116" s="418"/>
      <c r="S116" s="418"/>
      <c r="T116" s="418"/>
      <c r="U116" s="419"/>
      <c r="V116" s="420"/>
      <c r="W116" s="420"/>
      <c r="X116" s="420"/>
      <c r="Y116" s="420"/>
      <c r="Z116" s="420"/>
      <c r="AA116" s="420"/>
      <c r="AB116" s="420"/>
      <c r="AC116" s="420"/>
      <c r="AD116" s="420"/>
      <c r="AE116" s="420"/>
    </row>
    <row r="117" spans="1:32" x14ac:dyDescent="0.3">
      <c r="A117" s="460">
        <v>5</v>
      </c>
      <c r="B117" s="461" t="s">
        <v>172</v>
      </c>
      <c r="C117" s="461"/>
      <c r="D117" s="461"/>
      <c r="E117" s="461"/>
      <c r="F117" s="462"/>
      <c r="G117" s="85"/>
      <c r="H117" s="20"/>
      <c r="I117" s="20"/>
      <c r="K117" s="19"/>
      <c r="M117" s="21"/>
      <c r="N117" s="21"/>
      <c r="O117" s="20"/>
      <c r="R117" s="18"/>
      <c r="AF117"/>
    </row>
    <row r="118" spans="1:32" x14ac:dyDescent="0.3">
      <c r="A118" s="450"/>
      <c r="B118" s="436" t="s">
        <v>80</v>
      </c>
      <c r="C118" s="436"/>
      <c r="D118" s="436"/>
      <c r="E118" s="137">
        <v>1</v>
      </c>
      <c r="F118" s="138" t="s">
        <v>11</v>
      </c>
      <c r="G118" s="85"/>
      <c r="H118" s="20"/>
      <c r="I118" s="20"/>
      <c r="K118" s="19"/>
      <c r="M118" s="21"/>
      <c r="N118" s="21"/>
      <c r="O118" s="20"/>
      <c r="R118" s="18"/>
      <c r="AF118"/>
    </row>
    <row r="119" spans="1:32" x14ac:dyDescent="0.3">
      <c r="A119" s="450"/>
      <c r="B119" s="436" t="s">
        <v>81</v>
      </c>
      <c r="C119" s="436"/>
      <c r="D119" s="436"/>
      <c r="E119" s="137">
        <v>2</v>
      </c>
      <c r="F119" s="138" t="s">
        <v>8</v>
      </c>
      <c r="G119" s="85"/>
      <c r="H119" s="20"/>
      <c r="I119" s="20"/>
      <c r="K119" s="19"/>
      <c r="M119" s="21"/>
      <c r="N119" s="21"/>
      <c r="O119" s="20"/>
      <c r="R119" s="18"/>
      <c r="AF119"/>
    </row>
    <row r="120" spans="1:32" x14ac:dyDescent="0.3">
      <c r="A120" s="450"/>
      <c r="B120" s="436" t="s">
        <v>82</v>
      </c>
      <c r="C120" s="436"/>
      <c r="D120" s="436"/>
      <c r="E120" s="137">
        <v>3</v>
      </c>
      <c r="F120" s="138" t="s">
        <v>6</v>
      </c>
      <c r="G120" s="85"/>
      <c r="H120" s="20"/>
      <c r="I120" s="20"/>
      <c r="K120" s="19"/>
      <c r="M120" s="21"/>
      <c r="N120" s="21"/>
      <c r="O120" s="20"/>
      <c r="R120" s="18"/>
      <c r="AF120"/>
    </row>
    <row r="121" spans="1:32" x14ac:dyDescent="0.3">
      <c r="A121" s="450"/>
      <c r="B121" s="436" t="s">
        <v>83</v>
      </c>
      <c r="C121" s="436"/>
      <c r="D121" s="436"/>
      <c r="E121" s="137">
        <v>4</v>
      </c>
      <c r="F121" s="138" t="s">
        <v>7</v>
      </c>
      <c r="G121" s="85"/>
      <c r="H121" s="20"/>
      <c r="I121" s="20"/>
      <c r="K121" s="19"/>
      <c r="M121" s="21"/>
      <c r="N121" s="21"/>
      <c r="O121" s="20"/>
      <c r="R121" s="18"/>
      <c r="AF121"/>
    </row>
    <row r="122" spans="1:32" x14ac:dyDescent="0.3">
      <c r="A122" s="450"/>
      <c r="B122" s="436" t="s">
        <v>84</v>
      </c>
      <c r="C122" s="436"/>
      <c r="D122" s="436"/>
      <c r="E122" s="137">
        <v>5</v>
      </c>
      <c r="F122" s="138" t="s">
        <v>12</v>
      </c>
      <c r="G122" s="85"/>
      <c r="H122" s="20"/>
      <c r="I122" s="20"/>
      <c r="K122" s="19"/>
      <c r="M122" s="21"/>
      <c r="N122" s="21"/>
      <c r="O122" s="20"/>
      <c r="R122" s="18"/>
      <c r="AF122"/>
    </row>
    <row r="123" spans="1:32" x14ac:dyDescent="0.3">
      <c r="A123" s="450">
        <v>6</v>
      </c>
      <c r="B123" s="451" t="s">
        <v>30</v>
      </c>
      <c r="C123" s="451"/>
      <c r="D123" s="451"/>
      <c r="E123" s="451"/>
      <c r="F123" s="452"/>
      <c r="G123" s="85"/>
      <c r="H123" s="20"/>
      <c r="I123" s="20"/>
      <c r="K123" s="19"/>
      <c r="M123" s="21"/>
      <c r="N123" s="21"/>
      <c r="O123" s="20"/>
      <c r="R123" s="18"/>
      <c r="AF123"/>
    </row>
    <row r="124" spans="1:32" x14ac:dyDescent="0.3">
      <c r="A124" s="450"/>
      <c r="B124" s="436" t="s">
        <v>53</v>
      </c>
      <c r="C124" s="436"/>
      <c r="D124" s="436"/>
      <c r="E124" s="137">
        <v>1</v>
      </c>
      <c r="F124" s="138" t="s">
        <v>11</v>
      </c>
      <c r="G124" s="85"/>
      <c r="H124" s="20"/>
      <c r="I124" s="20"/>
      <c r="K124" s="19"/>
      <c r="M124" s="21"/>
      <c r="N124" s="21"/>
      <c r="O124" s="20"/>
      <c r="R124" s="18"/>
      <c r="AF124"/>
    </row>
    <row r="125" spans="1:32" x14ac:dyDescent="0.3">
      <c r="A125" s="450"/>
      <c r="B125" s="436" t="s">
        <v>54</v>
      </c>
      <c r="C125" s="436"/>
      <c r="D125" s="436"/>
      <c r="E125" s="137">
        <v>2</v>
      </c>
      <c r="F125" s="138" t="s">
        <v>8</v>
      </c>
      <c r="G125" s="85"/>
      <c r="H125" s="20"/>
      <c r="I125" s="20"/>
      <c r="K125" s="19"/>
      <c r="AF125"/>
    </row>
    <row r="126" spans="1:32" x14ac:dyDescent="0.3">
      <c r="A126" s="450"/>
      <c r="B126" s="436" t="s">
        <v>55</v>
      </c>
      <c r="C126" s="436"/>
      <c r="D126" s="436"/>
      <c r="E126" s="137">
        <v>3</v>
      </c>
      <c r="F126" s="138" t="s">
        <v>6</v>
      </c>
      <c r="G126" s="85"/>
      <c r="H126" s="20"/>
      <c r="I126" s="20"/>
      <c r="K126" s="19"/>
      <c r="AF126"/>
    </row>
    <row r="127" spans="1:32" x14ac:dyDescent="0.3">
      <c r="A127" s="450"/>
      <c r="B127" s="436" t="s">
        <v>56</v>
      </c>
      <c r="C127" s="436"/>
      <c r="D127" s="436"/>
      <c r="E127" s="137">
        <v>4</v>
      </c>
      <c r="F127" s="138" t="s">
        <v>7</v>
      </c>
      <c r="G127" s="85"/>
      <c r="H127" s="20"/>
      <c r="I127" s="20"/>
      <c r="K127" s="19"/>
      <c r="AF127"/>
    </row>
    <row r="128" spans="1:32" x14ac:dyDescent="0.3">
      <c r="A128" s="450"/>
      <c r="B128" s="436" t="s">
        <v>57</v>
      </c>
      <c r="C128" s="436"/>
      <c r="D128" s="436"/>
      <c r="E128" s="137">
        <v>5</v>
      </c>
      <c r="F128" s="138" t="s">
        <v>12</v>
      </c>
      <c r="G128" s="85"/>
      <c r="H128" s="23"/>
      <c r="I128" s="23"/>
      <c r="K128" s="19"/>
      <c r="AF128"/>
    </row>
    <row r="129" spans="1:32" x14ac:dyDescent="0.3">
      <c r="A129" s="450">
        <v>7</v>
      </c>
      <c r="B129" s="451" t="s">
        <v>73</v>
      </c>
      <c r="C129" s="451"/>
      <c r="D129" s="451"/>
      <c r="E129" s="451"/>
      <c r="F129" s="452"/>
      <c r="G129" s="85"/>
      <c r="H129" s="20"/>
      <c r="I129" s="20"/>
      <c r="K129" s="19"/>
      <c r="AF129"/>
    </row>
    <row r="130" spans="1:32" x14ac:dyDescent="0.3">
      <c r="A130" s="450"/>
      <c r="B130" s="436" t="s">
        <v>99</v>
      </c>
      <c r="C130" s="436"/>
      <c r="D130" s="436"/>
      <c r="E130" s="137">
        <v>1</v>
      </c>
      <c r="F130" s="138" t="s">
        <v>11</v>
      </c>
      <c r="G130" s="85"/>
    </row>
    <row r="131" spans="1:32" x14ac:dyDescent="0.3">
      <c r="A131" s="450"/>
      <c r="B131" s="436" t="s">
        <v>98</v>
      </c>
      <c r="C131" s="436"/>
      <c r="D131" s="436"/>
      <c r="E131" s="137">
        <v>2</v>
      </c>
      <c r="F131" s="138" t="s">
        <v>8</v>
      </c>
      <c r="G131" s="85"/>
    </row>
    <row r="132" spans="1:32" x14ac:dyDescent="0.3">
      <c r="A132" s="450"/>
      <c r="B132" s="436" t="s">
        <v>97</v>
      </c>
      <c r="C132" s="436"/>
      <c r="D132" s="436"/>
      <c r="E132" s="137">
        <v>3</v>
      </c>
      <c r="F132" s="138" t="s">
        <v>6</v>
      </c>
      <c r="G132" s="85"/>
    </row>
    <row r="133" spans="1:32" x14ac:dyDescent="0.3">
      <c r="A133" s="450"/>
      <c r="B133" s="436" t="s">
        <v>96</v>
      </c>
      <c r="C133" s="436"/>
      <c r="D133" s="436"/>
      <c r="E133" s="137">
        <v>4</v>
      </c>
      <c r="F133" s="138" t="s">
        <v>7</v>
      </c>
      <c r="G133" s="85"/>
    </row>
    <row r="134" spans="1:32" x14ac:dyDescent="0.3">
      <c r="A134" s="450"/>
      <c r="B134" s="436" t="s">
        <v>95</v>
      </c>
      <c r="C134" s="436"/>
      <c r="D134" s="436"/>
      <c r="E134" s="137">
        <v>5</v>
      </c>
      <c r="F134" s="138" t="s">
        <v>12</v>
      </c>
      <c r="G134" s="85"/>
    </row>
    <row r="135" spans="1:32" x14ac:dyDescent="0.3">
      <c r="A135" s="450" t="s">
        <v>104</v>
      </c>
      <c r="B135" s="451" t="s">
        <v>105</v>
      </c>
      <c r="C135" s="451"/>
      <c r="D135" s="451"/>
      <c r="E135" s="451"/>
      <c r="F135" s="452"/>
      <c r="G135" s="85"/>
    </row>
    <row r="136" spans="1:32" x14ac:dyDescent="0.3">
      <c r="A136" s="450"/>
      <c r="B136" s="422" t="s">
        <v>155</v>
      </c>
      <c r="C136" s="423"/>
      <c r="D136" s="424"/>
      <c r="E136" s="137">
        <v>1</v>
      </c>
      <c r="F136" s="138" t="s">
        <v>11</v>
      </c>
      <c r="G136" s="85"/>
    </row>
    <row r="137" spans="1:32" s="3" customFormat="1" x14ac:dyDescent="0.3">
      <c r="A137" s="450"/>
      <c r="B137" s="422" t="s">
        <v>154</v>
      </c>
      <c r="C137" s="423"/>
      <c r="D137" s="424"/>
      <c r="E137" s="137">
        <v>2</v>
      </c>
      <c r="F137" s="138" t="s">
        <v>8</v>
      </c>
      <c r="G137" s="85"/>
      <c r="H137" s="19"/>
      <c r="I137" s="19"/>
      <c r="J137" s="20"/>
      <c r="K137" s="20"/>
      <c r="L137" s="19"/>
      <c r="M137" s="19"/>
      <c r="N137" s="19"/>
      <c r="O137" s="21"/>
      <c r="P137" s="20"/>
      <c r="Q137" s="20"/>
      <c r="R137" s="20"/>
      <c r="S137" s="18"/>
      <c r="T137" s="18"/>
      <c r="U137" s="5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x14ac:dyDescent="0.3">
      <c r="A138" s="450"/>
      <c r="B138" s="453" t="s">
        <v>157</v>
      </c>
      <c r="C138" s="453"/>
      <c r="D138" s="453"/>
      <c r="E138" s="137">
        <v>3</v>
      </c>
      <c r="F138" s="138" t="s">
        <v>6</v>
      </c>
      <c r="G138" s="85"/>
    </row>
    <row r="139" spans="1:32" s="3" customFormat="1" x14ac:dyDescent="0.3">
      <c r="A139" s="450"/>
      <c r="B139" s="422" t="s">
        <v>158</v>
      </c>
      <c r="C139" s="423"/>
      <c r="D139" s="424"/>
      <c r="E139" s="137">
        <v>4</v>
      </c>
      <c r="F139" s="138" t="s">
        <v>7</v>
      </c>
      <c r="G139" s="85"/>
      <c r="H139" s="19"/>
      <c r="I139" s="19"/>
      <c r="J139" s="20"/>
      <c r="K139" s="20"/>
      <c r="L139" s="19"/>
      <c r="M139" s="19"/>
      <c r="N139" s="19"/>
      <c r="O139" s="21"/>
      <c r="P139" s="20"/>
      <c r="Q139" s="20"/>
      <c r="R139" s="20"/>
      <c r="S139" s="18"/>
      <c r="T139" s="18"/>
      <c r="U139" s="5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x14ac:dyDescent="0.3">
      <c r="A140" s="450"/>
      <c r="B140" s="422" t="s">
        <v>156</v>
      </c>
      <c r="C140" s="423"/>
      <c r="D140" s="424"/>
      <c r="E140" s="137">
        <v>5</v>
      </c>
      <c r="F140" s="138" t="s">
        <v>12</v>
      </c>
      <c r="G140" s="85"/>
    </row>
    <row r="141" spans="1:32" ht="21" customHeight="1" thickBot="1" x14ac:dyDescent="0.35">
      <c r="A141" s="447" t="s">
        <v>137</v>
      </c>
      <c r="B141" s="448"/>
      <c r="C141" s="448"/>
      <c r="D141" s="448"/>
      <c r="E141" s="448"/>
      <c r="F141" s="449"/>
      <c r="G141" s="85"/>
    </row>
  </sheetData>
  <mergeCells count="83">
    <mergeCell ref="B43:D43"/>
    <mergeCell ref="B36:D36"/>
    <mergeCell ref="B37:D37"/>
    <mergeCell ref="B38:D38"/>
    <mergeCell ref="B39:D39"/>
    <mergeCell ref="B40:D40"/>
    <mergeCell ref="B41:D41"/>
    <mergeCell ref="B42:D42"/>
    <mergeCell ref="B88:D88"/>
    <mergeCell ref="B89:D89"/>
    <mergeCell ref="B90:D90"/>
    <mergeCell ref="B91:D91"/>
    <mergeCell ref="A93:A98"/>
    <mergeCell ref="B93:F93"/>
    <mergeCell ref="B94:D94"/>
    <mergeCell ref="B95:D95"/>
    <mergeCell ref="B96:D96"/>
    <mergeCell ref="B97:D97"/>
    <mergeCell ref="B98:D98"/>
    <mergeCell ref="A27:D27"/>
    <mergeCell ref="A3:F3"/>
    <mergeCell ref="B28:D28"/>
    <mergeCell ref="E27:G27"/>
    <mergeCell ref="B126:D126"/>
    <mergeCell ref="B104:D104"/>
    <mergeCell ref="B123:F123"/>
    <mergeCell ref="B124:D124"/>
    <mergeCell ref="B125:D125"/>
    <mergeCell ref="B108:D108"/>
    <mergeCell ref="B109:D109"/>
    <mergeCell ref="A36:A37"/>
    <mergeCell ref="A28:A29"/>
    <mergeCell ref="A85:A86"/>
    <mergeCell ref="A87:A92"/>
    <mergeCell ref="B87:F87"/>
    <mergeCell ref="B127:D127"/>
    <mergeCell ref="B92:D92"/>
    <mergeCell ref="B85:F86"/>
    <mergeCell ref="A117:A122"/>
    <mergeCell ref="B117:F117"/>
    <mergeCell ref="B118:D118"/>
    <mergeCell ref="B119:D119"/>
    <mergeCell ref="B120:D120"/>
    <mergeCell ref="B121:D121"/>
    <mergeCell ref="B122:D122"/>
    <mergeCell ref="A99:A104"/>
    <mergeCell ref="A105:A110"/>
    <mergeCell ref="B105:F105"/>
    <mergeCell ref="B106:D106"/>
    <mergeCell ref="B107:D107"/>
    <mergeCell ref="B103:D103"/>
    <mergeCell ref="A2:F2"/>
    <mergeCell ref="A1:F1"/>
    <mergeCell ref="A141:F141"/>
    <mergeCell ref="A129:A134"/>
    <mergeCell ref="B129:F129"/>
    <mergeCell ref="B130:D130"/>
    <mergeCell ref="B131:D131"/>
    <mergeCell ref="B132:D132"/>
    <mergeCell ref="B133:D133"/>
    <mergeCell ref="B134:D134"/>
    <mergeCell ref="A135:A140"/>
    <mergeCell ref="B135:F135"/>
    <mergeCell ref="B138:D138"/>
    <mergeCell ref="B136:D136"/>
    <mergeCell ref="B140:D140"/>
    <mergeCell ref="A123:A128"/>
    <mergeCell ref="B137:D137"/>
    <mergeCell ref="B139:D139"/>
    <mergeCell ref="A54:G54"/>
    <mergeCell ref="B55:B56"/>
    <mergeCell ref="C55:C56"/>
    <mergeCell ref="D55:D56"/>
    <mergeCell ref="E55:E56"/>
    <mergeCell ref="F55:F56"/>
    <mergeCell ref="G55:G56"/>
    <mergeCell ref="A55:A56"/>
    <mergeCell ref="B128:D128"/>
    <mergeCell ref="B110:D110"/>
    <mergeCell ref="B99:F99"/>
    <mergeCell ref="B100:D100"/>
    <mergeCell ref="B101:D101"/>
    <mergeCell ref="B102:D102"/>
  </mergeCells>
  <phoneticPr fontId="28" type="noConversion"/>
  <printOptions headings="1"/>
  <pageMargins left="0" right="0" top="0" bottom="0" header="0" footer="0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40" zoomScaleNormal="40" workbookViewId="0">
      <selection activeCell="I31" sqref="I31"/>
    </sheetView>
  </sheetViews>
  <sheetFormatPr defaultRowHeight="15" x14ac:dyDescent="0.25"/>
  <cols>
    <col min="1" max="1" width="24" style="14" customWidth="1"/>
    <col min="2" max="2" width="13" style="14" customWidth="1"/>
    <col min="3" max="3" width="12.5703125" style="14" customWidth="1"/>
    <col min="4" max="4" width="16.7109375" style="14" customWidth="1"/>
    <col min="5" max="5" width="14.5703125" style="14" customWidth="1"/>
    <col min="6" max="6" width="21.140625" style="14" customWidth="1"/>
    <col min="7" max="7" width="13.7109375" style="14" customWidth="1"/>
    <col min="8" max="8" width="21.28515625" style="14" customWidth="1"/>
    <col min="9" max="9" width="13" style="14" customWidth="1"/>
    <col min="10" max="10" width="14.140625" style="14" customWidth="1"/>
    <col min="11" max="11" width="12.7109375" style="14" customWidth="1"/>
    <col min="12" max="12" width="17" style="14" customWidth="1"/>
    <col min="13" max="13" width="16.28515625" style="14" customWidth="1"/>
  </cols>
  <sheetData>
    <row r="1" spans="1:13" x14ac:dyDescent="0.25">
      <c r="A1" s="620" t="s">
        <v>87</v>
      </c>
      <c r="B1" s="16" t="s">
        <v>2</v>
      </c>
      <c r="C1" s="16" t="s">
        <v>2</v>
      </c>
      <c r="D1" s="16" t="s">
        <v>0</v>
      </c>
      <c r="E1" s="16" t="s">
        <v>0</v>
      </c>
      <c r="F1" s="16" t="s">
        <v>1</v>
      </c>
      <c r="G1" s="16" t="s">
        <v>1</v>
      </c>
      <c r="H1" s="16" t="s">
        <v>3</v>
      </c>
      <c r="I1" s="16" t="s">
        <v>3</v>
      </c>
      <c r="J1" s="17" t="s">
        <v>4</v>
      </c>
      <c r="K1" s="17" t="s">
        <v>4</v>
      </c>
      <c r="L1" s="17" t="s">
        <v>21</v>
      </c>
      <c r="M1" s="17" t="s">
        <v>21</v>
      </c>
    </row>
    <row r="2" spans="1:13" s="3" customFormat="1" ht="35.25" customHeight="1" x14ac:dyDescent="0.25">
      <c r="A2" s="621"/>
      <c r="B2" s="17" t="s">
        <v>92</v>
      </c>
      <c r="C2" s="17" t="s">
        <v>91</v>
      </c>
      <c r="D2" s="17" t="s">
        <v>92</v>
      </c>
      <c r="E2" s="17" t="s">
        <v>91</v>
      </c>
      <c r="F2" s="17" t="s">
        <v>92</v>
      </c>
      <c r="G2" s="17" t="s">
        <v>91</v>
      </c>
      <c r="H2" s="17" t="s">
        <v>92</v>
      </c>
      <c r="I2" s="17" t="s">
        <v>91</v>
      </c>
      <c r="J2" s="17" t="s">
        <v>92</v>
      </c>
      <c r="K2" s="17" t="s">
        <v>91</v>
      </c>
      <c r="L2" s="17" t="s">
        <v>92</v>
      </c>
      <c r="M2" s="17" t="s">
        <v>91</v>
      </c>
    </row>
    <row r="3" spans="1:13" x14ac:dyDescent="0.25">
      <c r="A3" s="15">
        <v>43839</v>
      </c>
      <c r="B3" s="6">
        <v>45</v>
      </c>
      <c r="C3" s="7">
        <f>B3</f>
        <v>45</v>
      </c>
      <c r="D3" s="8">
        <v>0</v>
      </c>
      <c r="E3" s="8">
        <f>D3</f>
        <v>0</v>
      </c>
      <c r="F3" s="8">
        <v>0</v>
      </c>
      <c r="G3" s="8">
        <f>F3</f>
        <v>0</v>
      </c>
      <c r="H3" s="8">
        <v>0</v>
      </c>
      <c r="I3" s="8">
        <f>H3</f>
        <v>0</v>
      </c>
      <c r="J3" s="8">
        <v>0</v>
      </c>
      <c r="K3" s="8">
        <f>J3</f>
        <v>0</v>
      </c>
      <c r="L3" s="8">
        <v>0</v>
      </c>
      <c r="M3" s="8">
        <f>L3</f>
        <v>0</v>
      </c>
    </row>
    <row r="4" spans="1:13" x14ac:dyDescent="0.25">
      <c r="A4" s="15">
        <v>43849</v>
      </c>
      <c r="B4" s="6">
        <v>153</v>
      </c>
      <c r="C4" s="7">
        <f>SUM(B3:B4)</f>
        <v>198</v>
      </c>
      <c r="D4" s="8">
        <v>0</v>
      </c>
      <c r="E4" s="8">
        <f>SUM(D3:D4)</f>
        <v>0</v>
      </c>
      <c r="F4" s="8">
        <v>0</v>
      </c>
      <c r="G4" s="8">
        <f>SUM(F3:F4)</f>
        <v>0</v>
      </c>
      <c r="H4" s="8">
        <v>0</v>
      </c>
      <c r="I4" s="8">
        <f>SUM(H3:H4)</f>
        <v>0</v>
      </c>
      <c r="J4" s="8">
        <v>0</v>
      </c>
      <c r="K4" s="8">
        <f>SUM(J3:J4)</f>
        <v>0</v>
      </c>
      <c r="L4" s="8">
        <v>0</v>
      </c>
      <c r="M4" s="8">
        <f>SUM(L3:L4)</f>
        <v>0</v>
      </c>
    </row>
    <row r="5" spans="1:13" x14ac:dyDescent="0.25">
      <c r="A5" s="15">
        <v>43859</v>
      </c>
      <c r="B5" s="6">
        <v>7513</v>
      </c>
      <c r="C5" s="7">
        <f>SUM(B3:B5)</f>
        <v>7711</v>
      </c>
      <c r="D5" s="8">
        <v>0</v>
      </c>
      <c r="E5" s="8">
        <f>SUM(D3:D5)</f>
        <v>0</v>
      </c>
      <c r="F5" s="8">
        <v>0</v>
      </c>
      <c r="G5" s="8">
        <f>SUM(F3:F5)</f>
        <v>0</v>
      </c>
      <c r="H5" s="8">
        <v>0</v>
      </c>
      <c r="I5" s="8">
        <f>SUM(H3:H5)</f>
        <v>0</v>
      </c>
      <c r="J5" s="8">
        <v>0</v>
      </c>
      <c r="K5" s="8">
        <f>SUM(J3:J5)</f>
        <v>0</v>
      </c>
      <c r="L5" s="8">
        <v>0</v>
      </c>
      <c r="M5" s="8">
        <f>SUM(L3:L5)</f>
        <v>0</v>
      </c>
    </row>
    <row r="6" spans="1:13" x14ac:dyDescent="0.25">
      <c r="A6" s="15">
        <v>43869</v>
      </c>
      <c r="B6" s="6">
        <v>29487.000000000004</v>
      </c>
      <c r="C6" s="7">
        <f>SUM(B3:B6)</f>
        <v>37198</v>
      </c>
      <c r="D6" s="8">
        <v>0</v>
      </c>
      <c r="E6" s="8">
        <f>SUM(D3:D6)</f>
        <v>0</v>
      </c>
      <c r="F6" s="8">
        <v>0</v>
      </c>
      <c r="G6" s="8">
        <f>SUM(F3:F6)</f>
        <v>0</v>
      </c>
      <c r="H6" s="8">
        <v>0</v>
      </c>
      <c r="I6" s="8">
        <f>SUM(H3:H6)</f>
        <v>0</v>
      </c>
      <c r="J6" s="8">
        <v>0</v>
      </c>
      <c r="K6" s="8">
        <f>SUM(J3:J6)</f>
        <v>0</v>
      </c>
      <c r="L6" s="8">
        <v>0</v>
      </c>
      <c r="M6" s="8">
        <f>SUM(L3:L6)</f>
        <v>0</v>
      </c>
    </row>
    <row r="7" spans="1:13" x14ac:dyDescent="0.25">
      <c r="A7" s="15">
        <v>43879</v>
      </c>
      <c r="B7" s="6">
        <v>40460</v>
      </c>
      <c r="C7" s="7">
        <f>SUM(B3:B7)</f>
        <v>77658</v>
      </c>
      <c r="D7" s="8">
        <v>0</v>
      </c>
      <c r="E7" s="8">
        <f>SUM(D3:D7)</f>
        <v>0</v>
      </c>
      <c r="F7" s="8">
        <v>0</v>
      </c>
      <c r="G7" s="8">
        <f>SUM(F3:F7)</f>
        <v>0</v>
      </c>
      <c r="H7" s="8">
        <v>0</v>
      </c>
      <c r="I7" s="8">
        <f>SUM(H3:H7)</f>
        <v>0</v>
      </c>
      <c r="J7" s="8">
        <v>0</v>
      </c>
      <c r="K7" s="8">
        <f>SUM(J3:J7)</f>
        <v>0</v>
      </c>
      <c r="L7" s="8">
        <v>0</v>
      </c>
      <c r="M7" s="8">
        <f>SUM(L3:L7)</f>
        <v>0</v>
      </c>
    </row>
    <row r="8" spans="1:13" x14ac:dyDescent="0.25">
      <c r="A8" s="15">
        <v>43889</v>
      </c>
      <c r="B8" s="6">
        <v>5066</v>
      </c>
      <c r="C8" s="6">
        <f>SUM(B3:B8)</f>
        <v>82724</v>
      </c>
      <c r="D8" s="6" t="e">
        <f>SUM(#REF!)</f>
        <v>#REF!</v>
      </c>
      <c r="E8" s="6" t="e">
        <f>SUM(D3:D8)</f>
        <v>#REF!</v>
      </c>
      <c r="F8" s="6">
        <v>16</v>
      </c>
      <c r="G8" s="6">
        <f>SUM(F3:F8)</f>
        <v>16</v>
      </c>
      <c r="H8" s="6">
        <v>2.9999999999999996</v>
      </c>
      <c r="I8" s="6">
        <f>SUM(H3:H8)</f>
        <v>2.9999999999999996</v>
      </c>
      <c r="J8" s="6">
        <v>15.999999999999998</v>
      </c>
      <c r="K8" s="6">
        <f>SUM(J3:J8)</f>
        <v>15.999999999999998</v>
      </c>
      <c r="L8" s="6">
        <v>52.999999999999993</v>
      </c>
      <c r="M8" s="6">
        <f>SUM(L3:L8)</f>
        <v>52.999999999999993</v>
      </c>
    </row>
    <row r="9" spans="1:13" x14ac:dyDescent="0.25">
      <c r="A9" s="15">
        <v>43899</v>
      </c>
      <c r="B9" s="6">
        <v>1502.9999999999998</v>
      </c>
      <c r="C9" s="6">
        <f>SUM(B3:B9)</f>
        <v>84227</v>
      </c>
      <c r="D9" s="6" t="e">
        <f>SUM(#REF!)</f>
        <v>#REF!</v>
      </c>
      <c r="E9" s="6" t="e">
        <f>SUM(D3:D9)</f>
        <v>#REF!</v>
      </c>
      <c r="F9" s="6">
        <v>528.99999999999989</v>
      </c>
      <c r="G9" s="6">
        <f>SUM(F3:F9)</f>
        <v>544.99999999999989</v>
      </c>
      <c r="H9" s="6">
        <v>279</v>
      </c>
      <c r="I9" s="6">
        <f>SUM(H3:H9)</f>
        <v>282</v>
      </c>
      <c r="J9" s="6">
        <v>411.00000000000006</v>
      </c>
      <c r="K9" s="6">
        <f>SUM(J3:J9)</f>
        <v>427.00000000000006</v>
      </c>
      <c r="L9" s="6">
        <v>168.00000000000003</v>
      </c>
      <c r="M9" s="6">
        <f>SUM(L3:L9)</f>
        <v>221.00000000000003</v>
      </c>
    </row>
    <row r="10" spans="1:13" x14ac:dyDescent="0.25">
      <c r="A10" s="15">
        <v>43909</v>
      </c>
      <c r="B10" s="6">
        <v>213.00000000000003</v>
      </c>
      <c r="C10" s="6">
        <f>SUM(B3:B10)</f>
        <v>84440</v>
      </c>
      <c r="D10" s="6" t="e">
        <f>SUM(#REF!)</f>
        <v>#REF!</v>
      </c>
      <c r="E10" s="6" t="e">
        <f>SUM(D3:D10)</f>
        <v>#REF!</v>
      </c>
      <c r="F10" s="6">
        <v>3292.5</v>
      </c>
      <c r="G10" s="6">
        <f>SUM(F3:F10)</f>
        <v>3837.5</v>
      </c>
      <c r="H10" s="6">
        <v>4816.25</v>
      </c>
      <c r="I10" s="6">
        <f>SUM(H3:H10)</f>
        <v>5098.25</v>
      </c>
      <c r="J10" s="6">
        <v>3125</v>
      </c>
      <c r="K10" s="6">
        <f>SUM(J3:J10)</f>
        <v>3552</v>
      </c>
      <c r="L10" s="6">
        <v>3391.9999999999995</v>
      </c>
      <c r="M10" s="6">
        <f>SUM(L3:L10)</f>
        <v>3612.9999999999995</v>
      </c>
    </row>
    <row r="11" spans="1:13" x14ac:dyDescent="0.25">
      <c r="A11" s="15">
        <v>43919</v>
      </c>
      <c r="B11" s="6">
        <v>524.44444444444446</v>
      </c>
      <c r="C11" s="6">
        <f>SUM(B3:B11)</f>
        <v>84964.444444444438</v>
      </c>
      <c r="D11" s="6" t="e">
        <f>SUM(#REF!)</f>
        <v>#REF!</v>
      </c>
      <c r="E11" s="6" t="e">
        <f>SUM(D3:D11)</f>
        <v>#REF!</v>
      </c>
      <c r="F11" s="6">
        <v>31510</v>
      </c>
      <c r="G11" s="6">
        <f>SUM(F3:F11)</f>
        <v>35347.5</v>
      </c>
      <c r="H11" s="6">
        <v>41526.999999999993</v>
      </c>
      <c r="I11" s="6">
        <f>SUM(H3:H11)</f>
        <v>46625.249999999993</v>
      </c>
      <c r="J11" s="6">
        <v>19810</v>
      </c>
      <c r="K11" s="6">
        <f>SUM(J3:J11)</f>
        <v>23362</v>
      </c>
      <c r="L11" s="6">
        <v>64598.000000000015</v>
      </c>
      <c r="M11" s="6">
        <f>SUM(L3:L11)</f>
        <v>68211.000000000015</v>
      </c>
    </row>
    <row r="12" spans="1:13" x14ac:dyDescent="0.25">
      <c r="A12" s="15">
        <v>43929</v>
      </c>
      <c r="B12" s="9"/>
      <c r="C12" s="10">
        <f>SUM(B3:B12)</f>
        <v>84964.444444444438</v>
      </c>
      <c r="D12" s="11" t="e">
        <f>SUM(#REF!)</f>
        <v>#REF!</v>
      </c>
      <c r="E12" s="11" t="e">
        <f>SUM(D3:D12)</f>
        <v>#REF!</v>
      </c>
      <c r="F12" s="11" t="e">
        <f>SUM(#REF!)</f>
        <v>#REF!</v>
      </c>
      <c r="G12" s="11" t="e">
        <f>SUM(F3:F12)</f>
        <v>#REF!</v>
      </c>
      <c r="H12" s="11" t="e">
        <f>SUM(#REF!)</f>
        <v>#REF!</v>
      </c>
      <c r="I12" s="11" t="e">
        <f>SUM(H3:H12)</f>
        <v>#REF!</v>
      </c>
      <c r="J12" s="12" t="e">
        <f>SUM(#REF!)</f>
        <v>#REF!</v>
      </c>
      <c r="K12" s="12" t="e">
        <f>SUM(J3:J12)</f>
        <v>#REF!</v>
      </c>
      <c r="L12" s="11" t="e">
        <f>SUM(#REF!)</f>
        <v>#REF!</v>
      </c>
      <c r="M12" s="11" t="e">
        <f>SUM(L3:L12)</f>
        <v>#REF!</v>
      </c>
    </row>
    <row r="13" spans="1:13" x14ac:dyDescent="0.25">
      <c r="A13" s="15">
        <v>43939</v>
      </c>
      <c r="B13" s="9"/>
      <c r="C13" s="10">
        <f>SUM(B3:B13)</f>
        <v>84964.444444444438</v>
      </c>
      <c r="D13" s="11" t="e">
        <f>SUM(#REF!)</f>
        <v>#REF!</v>
      </c>
      <c r="E13" s="11" t="e">
        <f>SUM(D3:D13)</f>
        <v>#REF!</v>
      </c>
      <c r="F13" s="11" t="e">
        <f>SUM(#REF!)</f>
        <v>#REF!</v>
      </c>
      <c r="G13" s="11" t="e">
        <f>SUM(F3:F13)</f>
        <v>#REF!</v>
      </c>
      <c r="H13" s="11" t="e">
        <f>SUM(#REF!)</f>
        <v>#REF!</v>
      </c>
      <c r="I13" s="11" t="e">
        <f>SUM(H3:H13)</f>
        <v>#REF!</v>
      </c>
      <c r="J13" s="11" t="e">
        <f>SUM(#REF!)</f>
        <v>#REF!</v>
      </c>
      <c r="K13" s="11" t="e">
        <f>SUM(J3:J13)</f>
        <v>#REF!</v>
      </c>
      <c r="L13" s="11" t="e">
        <f>SUM(#REF!)</f>
        <v>#REF!</v>
      </c>
      <c r="M13" s="11" t="e">
        <f>SUM(L3:L13)</f>
        <v>#REF!</v>
      </c>
    </row>
    <row r="14" spans="1:13" x14ac:dyDescent="0.25">
      <c r="A14" s="15">
        <v>43949</v>
      </c>
      <c r="B14" s="9"/>
      <c r="C14" s="10">
        <f>SUM(B3:B14)</f>
        <v>84964.444444444438</v>
      </c>
      <c r="D14" s="11" t="e">
        <f>SUM(#REF!)</f>
        <v>#REF!</v>
      </c>
      <c r="E14" s="11" t="e">
        <f>SUM(D3:D14)</f>
        <v>#REF!</v>
      </c>
      <c r="F14" s="11" t="e">
        <f>SUM(#REF!)</f>
        <v>#REF!</v>
      </c>
      <c r="G14" s="11" t="e">
        <f>SUM(F3:F14)</f>
        <v>#REF!</v>
      </c>
      <c r="H14" s="11" t="e">
        <f>SUM(#REF!)</f>
        <v>#REF!</v>
      </c>
      <c r="I14" s="11" t="e">
        <f>SUM(H3:H14)</f>
        <v>#REF!</v>
      </c>
      <c r="J14" s="11" t="e">
        <f>SUM(#REF!)</f>
        <v>#REF!</v>
      </c>
      <c r="K14" s="11" t="e">
        <f>SUM(J3:J14)</f>
        <v>#REF!</v>
      </c>
      <c r="L14" s="11" t="e">
        <f>SUM(#REF!)</f>
        <v>#REF!</v>
      </c>
      <c r="M14" s="11" t="e">
        <f>SUM(L3:L14)</f>
        <v>#REF!</v>
      </c>
    </row>
    <row r="15" spans="1:13" x14ac:dyDescent="0.25">
      <c r="A15" s="15">
        <v>43959</v>
      </c>
      <c r="B15" s="9"/>
      <c r="C15" s="10">
        <f>SUM(B3:B15)</f>
        <v>84964.444444444438</v>
      </c>
      <c r="D15" s="11" t="e">
        <f>SUM(#REF!)</f>
        <v>#REF!</v>
      </c>
      <c r="E15" s="11" t="e">
        <f>SUM(D3:D15)</f>
        <v>#REF!</v>
      </c>
      <c r="F15" s="11" t="e">
        <f>SUM(#REF!)</f>
        <v>#REF!</v>
      </c>
      <c r="G15" s="11" t="e">
        <f>SUM(F3:F15)</f>
        <v>#REF!</v>
      </c>
      <c r="H15" s="11" t="e">
        <f>SUM(#REF!)</f>
        <v>#REF!</v>
      </c>
      <c r="I15" s="11" t="e">
        <f>SUM(H3:H15)</f>
        <v>#REF!</v>
      </c>
      <c r="J15" s="11" t="e">
        <f>SUM(#REF!)</f>
        <v>#REF!</v>
      </c>
      <c r="K15" s="11" t="e">
        <f>SUM(J3:J15)</f>
        <v>#REF!</v>
      </c>
      <c r="L15" s="11" t="e">
        <f>SUM(#REF!)</f>
        <v>#REF!</v>
      </c>
      <c r="M15" s="11" t="e">
        <f>SUM(L3:L15)</f>
        <v>#REF!</v>
      </c>
    </row>
    <row r="16" spans="1:13" x14ac:dyDescent="0.25">
      <c r="A16" s="15">
        <v>43969</v>
      </c>
      <c r="B16" s="9"/>
      <c r="C16" s="10">
        <f>SUM(B3:B16)</f>
        <v>84964.444444444438</v>
      </c>
      <c r="D16" s="11"/>
      <c r="E16" s="11" t="e">
        <f>SUM(D3:D16)</f>
        <v>#REF!</v>
      </c>
      <c r="F16" s="11" t="e">
        <f>SUM(#REF!)</f>
        <v>#REF!</v>
      </c>
      <c r="G16" s="11" t="e">
        <f>SUM(F3:F16)</f>
        <v>#REF!</v>
      </c>
      <c r="H16" s="11" t="e">
        <f>SUM(#REF!)</f>
        <v>#REF!</v>
      </c>
      <c r="I16" s="11" t="e">
        <f>SUM(H3:H16)</f>
        <v>#REF!</v>
      </c>
      <c r="J16" s="11" t="e">
        <f>SUM(#REF!)</f>
        <v>#REF!</v>
      </c>
      <c r="K16" s="11" t="e">
        <f>SUM(J3:J16)</f>
        <v>#REF!</v>
      </c>
      <c r="L16" s="11" t="e">
        <f>SUM(#REF!)</f>
        <v>#REF!</v>
      </c>
      <c r="M16" s="11" t="e">
        <f>SUM(L3:L16)</f>
        <v>#REF!</v>
      </c>
    </row>
    <row r="17" spans="1:13" x14ac:dyDescent="0.25">
      <c r="A17" s="15">
        <v>43979</v>
      </c>
      <c r="B17" s="9"/>
      <c r="C17" s="10">
        <f>SUM(B3:B17)</f>
        <v>84964.444444444438</v>
      </c>
      <c r="D17" s="13"/>
      <c r="E17" s="13" t="e">
        <f>SUM(D3:D17)</f>
        <v>#REF!</v>
      </c>
      <c r="F17" s="11"/>
      <c r="G17" s="11" t="e">
        <f>SUM(F3:F17)</f>
        <v>#REF!</v>
      </c>
      <c r="H17" s="11"/>
      <c r="I17" s="11" t="e">
        <f>SUM(H3:H17)</f>
        <v>#REF!</v>
      </c>
      <c r="J17" s="11"/>
      <c r="K17" s="11" t="e">
        <f>SUM(J3:J17)</f>
        <v>#REF!</v>
      </c>
      <c r="L17" s="11" t="e">
        <f>SUM(#REF!)</f>
        <v>#REF!</v>
      </c>
      <c r="M17" s="11" t="e">
        <f>SUM(L3:L17)</f>
        <v>#REF!</v>
      </c>
    </row>
    <row r="18" spans="1:13" x14ac:dyDescent="0.25">
      <c r="A18" s="15">
        <v>43989</v>
      </c>
      <c r="B18" s="9"/>
      <c r="C18" s="10">
        <f>SUM(B3:B18)</f>
        <v>84964.444444444438</v>
      </c>
      <c r="D18" s="13"/>
      <c r="E18" s="13" t="e">
        <f>SUM(D3:D18)</f>
        <v>#REF!</v>
      </c>
      <c r="F18" s="13"/>
      <c r="G18" s="13" t="e">
        <f>SUM(F3:F18)</f>
        <v>#REF!</v>
      </c>
      <c r="H18" s="13"/>
      <c r="I18" s="13" t="e">
        <f>SUM(H3:H18)</f>
        <v>#REF!</v>
      </c>
      <c r="J18" s="9"/>
      <c r="K18" s="10" t="e">
        <f>SUM(J3:J18)</f>
        <v>#REF!</v>
      </c>
      <c r="L18" s="11"/>
      <c r="M18" s="11" t="e">
        <f>SUM(L3:L18)</f>
        <v>#REF!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6"/>
  <sheetViews>
    <sheetView topLeftCell="A2" zoomScale="90" zoomScaleNormal="90" workbookViewId="0">
      <selection activeCell="A2" sqref="A2:XFD2"/>
    </sheetView>
  </sheetViews>
  <sheetFormatPr defaultRowHeight="15.75" x14ac:dyDescent="0.25"/>
  <cols>
    <col min="1" max="1" width="8.85546875" style="3"/>
    <col min="2" max="2" width="8.85546875" style="50" bestFit="1" customWidth="1"/>
    <col min="3" max="3" width="17.85546875" style="31" customWidth="1"/>
    <col min="4" max="4" width="22" style="31" customWidth="1"/>
    <col min="5" max="6" width="17.42578125" style="31" customWidth="1"/>
    <col min="7" max="7" width="16.5703125" style="31" bestFit="1" customWidth="1"/>
    <col min="8" max="8" width="11.85546875" style="31" customWidth="1"/>
    <col min="9" max="9" width="12.140625" customWidth="1"/>
    <col min="10" max="10" width="13.85546875" customWidth="1"/>
    <col min="11" max="11" width="12.7109375" customWidth="1"/>
  </cols>
  <sheetData>
    <row r="1" spans="2:8" s="3" customFormat="1" x14ac:dyDescent="0.25">
      <c r="B1" s="50"/>
      <c r="C1" s="31"/>
      <c r="D1" s="31"/>
      <c r="E1" s="31"/>
      <c r="F1" s="31"/>
      <c r="G1" s="31"/>
      <c r="H1" s="31"/>
    </row>
    <row r="2" spans="2:8" s="3" customFormat="1" ht="24" customHeight="1" x14ac:dyDescent="0.25">
      <c r="B2" s="494" t="s">
        <v>147</v>
      </c>
      <c r="C2" s="494"/>
      <c r="D2" s="494"/>
      <c r="E2" s="494"/>
      <c r="F2" s="494"/>
      <c r="G2" s="494"/>
      <c r="H2" s="31"/>
    </row>
    <row r="3" spans="2:8" ht="16.5" thickBot="1" x14ac:dyDescent="0.3">
      <c r="B3" s="491" t="s">
        <v>127</v>
      </c>
      <c r="C3" s="492"/>
      <c r="D3" s="492"/>
      <c r="E3" s="492"/>
      <c r="F3" s="492"/>
      <c r="G3" s="493"/>
    </row>
    <row r="4" spans="2:8" ht="48" thickBot="1" x14ac:dyDescent="0.3">
      <c r="B4" s="34" t="s">
        <v>5</v>
      </c>
      <c r="C4" s="35" t="s">
        <v>9</v>
      </c>
      <c r="D4" s="35" t="s">
        <v>70</v>
      </c>
      <c r="E4" s="35" t="s">
        <v>10</v>
      </c>
      <c r="F4" s="36" t="s">
        <v>46</v>
      </c>
      <c r="G4" s="37" t="s">
        <v>126</v>
      </c>
    </row>
    <row r="5" spans="2:8" x14ac:dyDescent="0.25">
      <c r="B5" s="38" t="s">
        <v>2</v>
      </c>
      <c r="C5" s="39">
        <v>1439323776</v>
      </c>
      <c r="D5" s="39">
        <v>3.6</v>
      </c>
      <c r="E5" s="39">
        <f t="shared" ref="E5:E10" si="0">D5*C5/100000</f>
        <v>51815.655936000003</v>
      </c>
      <c r="F5" s="40">
        <f>E5*0.1</f>
        <v>5181.5655936000003</v>
      </c>
      <c r="G5" s="41" t="s">
        <v>47</v>
      </c>
    </row>
    <row r="6" spans="2:8" x14ac:dyDescent="0.25">
      <c r="B6" s="42" t="s">
        <v>1</v>
      </c>
      <c r="C6" s="43">
        <v>83706861</v>
      </c>
      <c r="D6" s="43">
        <v>29.2</v>
      </c>
      <c r="E6" s="43">
        <f t="shared" si="0"/>
        <v>24442.403412</v>
      </c>
      <c r="F6" s="44">
        <f>E6*0.3</f>
        <v>7332.7210236000001</v>
      </c>
      <c r="G6" s="45">
        <v>25000</v>
      </c>
    </row>
    <row r="7" spans="2:8" x14ac:dyDescent="0.25">
      <c r="B7" s="42" t="s">
        <v>3</v>
      </c>
      <c r="C7" s="43">
        <v>46749644</v>
      </c>
      <c r="D7" s="43">
        <v>9.6999999999999993</v>
      </c>
      <c r="E7" s="43">
        <f t="shared" si="0"/>
        <v>4534.7154679999994</v>
      </c>
      <c r="F7" s="44">
        <f>E7*0.2</f>
        <v>906.94309359999988</v>
      </c>
      <c r="G7" s="45" t="s">
        <v>47</v>
      </c>
    </row>
    <row r="8" spans="2:8" x14ac:dyDescent="0.25">
      <c r="B8" s="42" t="s">
        <v>4</v>
      </c>
      <c r="C8" s="43">
        <v>65232036</v>
      </c>
      <c r="D8" s="43">
        <v>11.6</v>
      </c>
      <c r="E8" s="43">
        <f t="shared" si="0"/>
        <v>7566.9161760000006</v>
      </c>
      <c r="F8" s="44">
        <f>E8*0.2</f>
        <v>1513.3832352000002</v>
      </c>
      <c r="G8" s="45">
        <v>5000</v>
      </c>
    </row>
    <row r="9" spans="2:8" x14ac:dyDescent="0.25">
      <c r="B9" s="42" t="s">
        <v>0</v>
      </c>
      <c r="C9" s="43">
        <v>60486977</v>
      </c>
      <c r="D9" s="43">
        <v>12.5</v>
      </c>
      <c r="E9" s="43">
        <f t="shared" si="0"/>
        <v>7560.8721249999999</v>
      </c>
      <c r="F9" s="44">
        <f>E9*0.2</f>
        <v>1512.1744250000002</v>
      </c>
      <c r="G9" s="45">
        <v>3000</v>
      </c>
    </row>
    <row r="10" spans="2:8" ht="16.5" thickBot="1" x14ac:dyDescent="0.3">
      <c r="B10" s="46" t="s">
        <v>21</v>
      </c>
      <c r="C10" s="47">
        <v>329436928</v>
      </c>
      <c r="D10" s="47">
        <v>34.700000000000003</v>
      </c>
      <c r="E10" s="47">
        <f t="shared" si="0"/>
        <v>114314.61401600001</v>
      </c>
      <c r="F10" s="48">
        <f>E10*0.3</f>
        <v>34294.384204800001</v>
      </c>
      <c r="G10" s="49">
        <v>177000</v>
      </c>
    </row>
    <row r="13" spans="2:8" x14ac:dyDescent="0.25">
      <c r="D13" s="51"/>
    </row>
    <row r="19" spans="2:8" s="1" customFormat="1" x14ac:dyDescent="0.25">
      <c r="B19" s="50"/>
      <c r="C19" s="51"/>
      <c r="D19" s="31"/>
      <c r="E19" s="51"/>
      <c r="F19" s="51"/>
      <c r="G19" s="51"/>
      <c r="H19" s="51"/>
    </row>
    <row r="21" spans="2:8" ht="60" customHeight="1" x14ac:dyDescent="0.25"/>
    <row r="40" ht="48.75" customHeight="1" x14ac:dyDescent="0.25"/>
    <row r="76" ht="65.25" customHeight="1" x14ac:dyDescent="0.25"/>
  </sheetData>
  <mergeCells count="2">
    <mergeCell ref="B3:G3"/>
    <mergeCell ref="B2:G2"/>
  </mergeCells>
  <pageMargins left="0" right="0" top="0" bottom="0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"/>
  <sheetViews>
    <sheetView zoomScale="80" zoomScaleNormal="80" workbookViewId="0">
      <selection sqref="A1:L1"/>
    </sheetView>
  </sheetViews>
  <sheetFormatPr defaultColWidth="8.85546875" defaultRowHeight="18.75" x14ac:dyDescent="0.3"/>
  <cols>
    <col min="1" max="1" width="11.28515625" style="185" customWidth="1"/>
    <col min="2" max="2" width="4.28515625" style="185" bestFit="1" customWidth="1"/>
    <col min="3" max="3" width="7.7109375" style="184" bestFit="1" customWidth="1"/>
    <col min="4" max="5" width="9.85546875" style="182" customWidth="1"/>
    <col min="6" max="6" width="11.7109375" style="182" customWidth="1"/>
    <col min="7" max="7" width="18" style="182" bestFit="1" customWidth="1"/>
    <col min="8" max="8" width="14" style="182" customWidth="1"/>
    <col min="9" max="9" width="10.28515625" style="182" bestFit="1" customWidth="1"/>
    <col min="10" max="10" width="10.140625" style="182" customWidth="1"/>
    <col min="11" max="11" width="21.28515625" style="183" customWidth="1"/>
    <col min="12" max="12" width="12.28515625" style="182" bestFit="1" customWidth="1"/>
    <col min="13" max="13" width="8.85546875" style="52"/>
    <col min="14" max="14" width="13.42578125" style="52" customWidth="1"/>
    <col min="15" max="15" width="27.7109375" style="52" customWidth="1"/>
    <col min="16" max="16" width="21.5703125" style="52" customWidth="1"/>
    <col min="17" max="17" width="9.140625" style="31" customWidth="1"/>
    <col min="18" max="18" width="5.7109375" style="31" customWidth="1"/>
    <col min="19" max="19" width="8.85546875" style="31"/>
    <col min="20" max="20" width="9.140625" style="31" customWidth="1"/>
    <col min="21" max="21" width="8.85546875" style="31"/>
    <col min="22" max="24" width="8.85546875" style="2"/>
    <col min="25" max="16384" width="8.85546875" style="3"/>
  </cols>
  <sheetData>
    <row r="1" spans="1:18" ht="21" thickBot="1" x14ac:dyDescent="0.3">
      <c r="A1" s="499" t="s">
        <v>153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172"/>
      <c r="N1" s="172"/>
      <c r="O1" s="172"/>
      <c r="P1" s="172"/>
      <c r="Q1" s="258"/>
      <c r="R1" s="258"/>
    </row>
    <row r="2" spans="1:18" ht="19.5" thickBot="1" x14ac:dyDescent="0.3">
      <c r="A2" s="500" t="s">
        <v>128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2"/>
      <c r="M2" s="172"/>
      <c r="N2" s="172"/>
      <c r="O2" s="172"/>
      <c r="P2" s="172"/>
      <c r="Q2" s="258"/>
      <c r="R2" s="258"/>
    </row>
    <row r="3" spans="1:18" ht="87.75" customHeight="1" thickBot="1" x14ac:dyDescent="0.3">
      <c r="A3" s="186" t="s">
        <v>138</v>
      </c>
      <c r="B3" s="187" t="s">
        <v>20</v>
      </c>
      <c r="C3" s="188" t="s">
        <v>18</v>
      </c>
      <c r="D3" s="189" t="s">
        <v>40</v>
      </c>
      <c r="E3" s="189" t="s">
        <v>39</v>
      </c>
      <c r="F3" s="189" t="s">
        <v>37</v>
      </c>
      <c r="G3" s="189" t="s">
        <v>167</v>
      </c>
      <c r="H3" s="189" t="s">
        <v>50</v>
      </c>
      <c r="I3" s="190" t="s">
        <v>71</v>
      </c>
      <c r="J3" s="190" t="s">
        <v>43</v>
      </c>
      <c r="K3" s="191" t="s">
        <v>129</v>
      </c>
      <c r="L3" s="189" t="s">
        <v>42</v>
      </c>
      <c r="M3" s="172"/>
      <c r="N3" s="172"/>
      <c r="O3" s="172"/>
      <c r="P3" s="172"/>
      <c r="Q3" s="258"/>
      <c r="R3" s="258"/>
    </row>
    <row r="4" spans="1:18" x14ac:dyDescent="0.25">
      <c r="A4" s="225"/>
      <c r="B4" s="226">
        <v>1</v>
      </c>
      <c r="C4" s="192">
        <v>43830</v>
      </c>
      <c r="D4" s="227">
        <v>27</v>
      </c>
      <c r="E4" s="228">
        <f>D4</f>
        <v>27</v>
      </c>
      <c r="F4" s="503">
        <f>SUM(E4:E13)</f>
        <v>45</v>
      </c>
      <c r="G4" s="195">
        <f t="shared" ref="G4:G13" si="0">F$4/10</f>
        <v>4.5</v>
      </c>
      <c r="H4" s="496">
        <f>SUM(G4:G13)</f>
        <v>45</v>
      </c>
      <c r="I4" s="496">
        <v>0</v>
      </c>
      <c r="J4" s="496">
        <v>0</v>
      </c>
      <c r="K4" s="506" t="s">
        <v>26</v>
      </c>
      <c r="L4" s="496">
        <f>H4*0.05</f>
        <v>2.25</v>
      </c>
      <c r="M4" s="172"/>
      <c r="N4" s="172"/>
      <c r="O4" s="172"/>
      <c r="P4" s="172"/>
      <c r="Q4" s="258"/>
      <c r="R4" s="258"/>
    </row>
    <row r="5" spans="1:18" x14ac:dyDescent="0.25">
      <c r="A5" s="225"/>
      <c r="B5" s="229">
        <v>2</v>
      </c>
      <c r="C5" s="196">
        <v>43831</v>
      </c>
      <c r="D5" s="230">
        <v>27</v>
      </c>
      <c r="E5" s="231">
        <f t="shared" ref="E5:E36" si="1">D5-D4</f>
        <v>0</v>
      </c>
      <c r="F5" s="504"/>
      <c r="G5" s="195">
        <f t="shared" si="0"/>
        <v>4.5</v>
      </c>
      <c r="H5" s="497"/>
      <c r="I5" s="497"/>
      <c r="J5" s="497"/>
      <c r="K5" s="507"/>
      <c r="L5" s="497"/>
      <c r="M5" s="172"/>
      <c r="N5" s="172"/>
      <c r="O5" s="172"/>
      <c r="P5" s="172"/>
      <c r="Q5" s="258"/>
      <c r="R5" s="258"/>
    </row>
    <row r="6" spans="1:18" x14ac:dyDescent="0.25">
      <c r="A6" s="225"/>
      <c r="B6" s="229">
        <v>3</v>
      </c>
      <c r="C6" s="196">
        <v>43832</v>
      </c>
      <c r="D6" s="230">
        <v>27</v>
      </c>
      <c r="E6" s="231">
        <f t="shared" si="1"/>
        <v>0</v>
      </c>
      <c r="F6" s="504"/>
      <c r="G6" s="195">
        <f t="shared" si="0"/>
        <v>4.5</v>
      </c>
      <c r="H6" s="497"/>
      <c r="I6" s="497"/>
      <c r="J6" s="497"/>
      <c r="K6" s="507"/>
      <c r="L6" s="497"/>
      <c r="M6" s="172"/>
      <c r="N6" s="172"/>
      <c r="O6" s="172"/>
      <c r="P6" s="172"/>
      <c r="Q6" s="258"/>
      <c r="R6" s="258"/>
    </row>
    <row r="7" spans="1:18" x14ac:dyDescent="0.25">
      <c r="A7" s="225"/>
      <c r="B7" s="229">
        <v>4</v>
      </c>
      <c r="C7" s="196">
        <v>43833</v>
      </c>
      <c r="D7" s="230">
        <v>27</v>
      </c>
      <c r="E7" s="231">
        <f t="shared" si="1"/>
        <v>0</v>
      </c>
      <c r="F7" s="504"/>
      <c r="G7" s="195">
        <f t="shared" si="0"/>
        <v>4.5</v>
      </c>
      <c r="H7" s="497"/>
      <c r="I7" s="497"/>
      <c r="J7" s="497"/>
      <c r="K7" s="507"/>
      <c r="L7" s="497"/>
      <c r="M7" s="172"/>
      <c r="N7" s="172"/>
      <c r="O7" s="172"/>
      <c r="P7" s="172"/>
      <c r="Q7" s="258"/>
      <c r="R7" s="258"/>
    </row>
    <row r="8" spans="1:18" x14ac:dyDescent="0.25">
      <c r="A8" s="225"/>
      <c r="B8" s="229">
        <v>5</v>
      </c>
      <c r="C8" s="196">
        <v>43834</v>
      </c>
      <c r="D8" s="232">
        <v>44</v>
      </c>
      <c r="E8" s="231">
        <f t="shared" si="1"/>
        <v>17</v>
      </c>
      <c r="F8" s="504"/>
      <c r="G8" s="195">
        <f t="shared" si="0"/>
        <v>4.5</v>
      </c>
      <c r="H8" s="497"/>
      <c r="I8" s="497"/>
      <c r="J8" s="497"/>
      <c r="K8" s="507"/>
      <c r="L8" s="497"/>
      <c r="M8" s="172"/>
      <c r="N8" s="172"/>
      <c r="O8" s="172"/>
      <c r="P8" s="172"/>
      <c r="Q8" s="258"/>
      <c r="R8" s="258"/>
    </row>
    <row r="9" spans="1:18" x14ac:dyDescent="0.25">
      <c r="A9" s="225"/>
      <c r="B9" s="229">
        <v>6</v>
      </c>
      <c r="C9" s="196">
        <v>43835</v>
      </c>
      <c r="D9" s="230">
        <v>45</v>
      </c>
      <c r="E9" s="231">
        <f t="shared" si="1"/>
        <v>1</v>
      </c>
      <c r="F9" s="504"/>
      <c r="G9" s="195">
        <f t="shared" si="0"/>
        <v>4.5</v>
      </c>
      <c r="H9" s="497"/>
      <c r="I9" s="497"/>
      <c r="J9" s="497"/>
      <c r="K9" s="507"/>
      <c r="L9" s="497"/>
      <c r="M9" s="172"/>
      <c r="N9" s="172"/>
      <c r="O9" s="172"/>
      <c r="P9" s="172"/>
      <c r="Q9" s="258"/>
      <c r="R9" s="258"/>
    </row>
    <row r="10" spans="1:18" x14ac:dyDescent="0.25">
      <c r="A10" s="225"/>
      <c r="B10" s="229">
        <v>7</v>
      </c>
      <c r="C10" s="196">
        <v>43836</v>
      </c>
      <c r="D10" s="230">
        <v>45</v>
      </c>
      <c r="E10" s="231">
        <f t="shared" si="1"/>
        <v>0</v>
      </c>
      <c r="F10" s="504"/>
      <c r="G10" s="195">
        <f t="shared" si="0"/>
        <v>4.5</v>
      </c>
      <c r="H10" s="497"/>
      <c r="I10" s="497"/>
      <c r="J10" s="497"/>
      <c r="K10" s="507"/>
      <c r="L10" s="497"/>
      <c r="M10" s="172"/>
      <c r="N10" s="172"/>
      <c r="O10" s="172"/>
      <c r="P10" s="172"/>
      <c r="Q10" s="258"/>
      <c r="R10" s="258"/>
    </row>
    <row r="11" spans="1:18" x14ac:dyDescent="0.25">
      <c r="A11" s="225"/>
      <c r="B11" s="229">
        <v>8</v>
      </c>
      <c r="C11" s="196">
        <v>43837</v>
      </c>
      <c r="D11" s="230">
        <v>45</v>
      </c>
      <c r="E11" s="231">
        <f t="shared" si="1"/>
        <v>0</v>
      </c>
      <c r="F11" s="504"/>
      <c r="G11" s="195">
        <f t="shared" si="0"/>
        <v>4.5</v>
      </c>
      <c r="H11" s="497"/>
      <c r="I11" s="497"/>
      <c r="J11" s="497"/>
      <c r="K11" s="507"/>
      <c r="L11" s="497"/>
      <c r="M11" s="172"/>
      <c r="N11" s="172"/>
      <c r="O11" s="172"/>
      <c r="P11" s="172"/>
      <c r="Q11" s="258"/>
      <c r="R11" s="258"/>
    </row>
    <row r="12" spans="1:18" x14ac:dyDescent="0.25">
      <c r="A12" s="225"/>
      <c r="B12" s="229">
        <v>9</v>
      </c>
      <c r="C12" s="196">
        <v>43838</v>
      </c>
      <c r="D12" s="230">
        <v>45</v>
      </c>
      <c r="E12" s="231">
        <f t="shared" si="1"/>
        <v>0</v>
      </c>
      <c r="F12" s="504"/>
      <c r="G12" s="195">
        <f t="shared" si="0"/>
        <v>4.5</v>
      </c>
      <c r="H12" s="497"/>
      <c r="I12" s="497"/>
      <c r="J12" s="497"/>
      <c r="K12" s="507"/>
      <c r="L12" s="497"/>
      <c r="M12" s="172"/>
      <c r="N12" s="172"/>
      <c r="O12" s="172"/>
      <c r="P12" s="172"/>
      <c r="Q12" s="258"/>
      <c r="R12" s="258"/>
    </row>
    <row r="13" spans="1:18" ht="19.5" thickBot="1" x14ac:dyDescent="0.3">
      <c r="A13" s="225"/>
      <c r="B13" s="233">
        <v>10</v>
      </c>
      <c r="C13" s="200">
        <v>43839</v>
      </c>
      <c r="D13" s="234">
        <v>45</v>
      </c>
      <c r="E13" s="235">
        <f t="shared" si="1"/>
        <v>0</v>
      </c>
      <c r="F13" s="505"/>
      <c r="G13" s="195">
        <f t="shared" si="0"/>
        <v>4.5</v>
      </c>
      <c r="H13" s="498"/>
      <c r="I13" s="498"/>
      <c r="J13" s="498"/>
      <c r="K13" s="508"/>
      <c r="L13" s="498"/>
      <c r="M13" s="172"/>
      <c r="N13" s="172"/>
      <c r="O13" s="172"/>
      <c r="P13" s="172"/>
      <c r="Q13" s="258"/>
      <c r="R13" s="258"/>
    </row>
    <row r="14" spans="1:18" x14ac:dyDescent="0.25">
      <c r="A14" s="225"/>
      <c r="B14" s="226">
        <v>11</v>
      </c>
      <c r="C14" s="192">
        <v>43840</v>
      </c>
      <c r="D14" s="227">
        <v>45</v>
      </c>
      <c r="E14" s="228">
        <f t="shared" si="1"/>
        <v>0</v>
      </c>
      <c r="F14" s="503">
        <f>SUM(E14:E23)</f>
        <v>153</v>
      </c>
      <c r="G14" s="195">
        <f t="shared" ref="G14:G23" si="2">F$14/10</f>
        <v>15.3</v>
      </c>
      <c r="H14" s="496">
        <f>SUM(G14:G23)</f>
        <v>153</v>
      </c>
      <c r="I14" s="496">
        <v>0</v>
      </c>
      <c r="J14" s="496">
        <v>0</v>
      </c>
      <c r="K14" s="506">
        <f>H14/(H4-I4-J4)</f>
        <v>3.4</v>
      </c>
      <c r="L14" s="496">
        <f>H14*0.05</f>
        <v>7.65</v>
      </c>
      <c r="M14" s="172"/>
      <c r="N14" s="172"/>
      <c r="O14" s="172"/>
      <c r="P14" s="172"/>
      <c r="Q14" s="258"/>
      <c r="R14" s="258"/>
    </row>
    <row r="15" spans="1:18" x14ac:dyDescent="0.25">
      <c r="A15" s="225"/>
      <c r="B15" s="229">
        <v>12</v>
      </c>
      <c r="C15" s="196">
        <v>43841</v>
      </c>
      <c r="D15" s="230">
        <v>45</v>
      </c>
      <c r="E15" s="231">
        <f t="shared" si="1"/>
        <v>0</v>
      </c>
      <c r="F15" s="504"/>
      <c r="G15" s="195">
        <f t="shared" si="2"/>
        <v>15.3</v>
      </c>
      <c r="H15" s="497"/>
      <c r="I15" s="497"/>
      <c r="J15" s="497"/>
      <c r="K15" s="507"/>
      <c r="L15" s="497"/>
      <c r="M15" s="172"/>
      <c r="N15" s="172"/>
      <c r="O15" s="172"/>
      <c r="P15" s="172"/>
      <c r="Q15" s="258"/>
      <c r="R15" s="258"/>
    </row>
    <row r="16" spans="1:18" x14ac:dyDescent="0.25">
      <c r="A16" s="225"/>
      <c r="B16" s="229">
        <v>13</v>
      </c>
      <c r="C16" s="196">
        <v>43842</v>
      </c>
      <c r="D16" s="230">
        <v>45</v>
      </c>
      <c r="E16" s="231">
        <f t="shared" si="1"/>
        <v>0</v>
      </c>
      <c r="F16" s="504"/>
      <c r="G16" s="195">
        <f t="shared" si="2"/>
        <v>15.3</v>
      </c>
      <c r="H16" s="497"/>
      <c r="I16" s="497"/>
      <c r="J16" s="497"/>
      <c r="K16" s="507"/>
      <c r="L16" s="497"/>
      <c r="M16" s="172"/>
      <c r="N16" s="172"/>
      <c r="O16" s="172"/>
      <c r="P16" s="172"/>
      <c r="Q16" s="258"/>
      <c r="R16" s="258"/>
    </row>
    <row r="17" spans="1:24" s="52" customFormat="1" x14ac:dyDescent="0.3">
      <c r="A17" s="225"/>
      <c r="B17" s="229">
        <v>14</v>
      </c>
      <c r="C17" s="196">
        <v>43843</v>
      </c>
      <c r="D17" s="230">
        <v>45</v>
      </c>
      <c r="E17" s="231">
        <f t="shared" si="1"/>
        <v>0</v>
      </c>
      <c r="F17" s="504"/>
      <c r="G17" s="195">
        <f t="shared" si="2"/>
        <v>15.3</v>
      </c>
      <c r="H17" s="497"/>
      <c r="I17" s="497"/>
      <c r="J17" s="497"/>
      <c r="K17" s="507"/>
      <c r="L17" s="497"/>
      <c r="M17" s="172"/>
      <c r="N17" s="172"/>
      <c r="O17" s="172"/>
      <c r="P17" s="172"/>
      <c r="Q17" s="258"/>
      <c r="R17" s="258"/>
      <c r="S17" s="31"/>
      <c r="T17" s="31"/>
      <c r="U17" s="31"/>
      <c r="V17" s="2"/>
      <c r="W17" s="2"/>
      <c r="X17" s="2"/>
    </row>
    <row r="18" spans="1:24" s="52" customFormat="1" x14ac:dyDescent="0.3">
      <c r="A18" s="225"/>
      <c r="B18" s="229">
        <v>15</v>
      </c>
      <c r="C18" s="196">
        <v>43844</v>
      </c>
      <c r="D18" s="230">
        <v>45</v>
      </c>
      <c r="E18" s="231">
        <f t="shared" si="1"/>
        <v>0</v>
      </c>
      <c r="F18" s="504"/>
      <c r="G18" s="195">
        <f t="shared" si="2"/>
        <v>15.3</v>
      </c>
      <c r="H18" s="497"/>
      <c r="I18" s="497"/>
      <c r="J18" s="497"/>
      <c r="K18" s="507"/>
      <c r="L18" s="497"/>
      <c r="M18" s="172"/>
      <c r="N18" s="172"/>
      <c r="O18" s="172"/>
      <c r="P18" s="172"/>
      <c r="Q18" s="258"/>
      <c r="R18" s="258"/>
      <c r="S18" s="31"/>
      <c r="T18" s="31"/>
      <c r="U18" s="31"/>
      <c r="V18" s="2"/>
      <c r="W18" s="2"/>
      <c r="X18" s="2"/>
    </row>
    <row r="19" spans="1:24" s="52" customFormat="1" x14ac:dyDescent="0.3">
      <c r="A19" s="225"/>
      <c r="B19" s="229">
        <v>16</v>
      </c>
      <c r="C19" s="196">
        <v>43845</v>
      </c>
      <c r="D19" s="230">
        <v>45</v>
      </c>
      <c r="E19" s="231">
        <f t="shared" si="1"/>
        <v>0</v>
      </c>
      <c r="F19" s="504"/>
      <c r="G19" s="195">
        <f t="shared" si="2"/>
        <v>15.3</v>
      </c>
      <c r="H19" s="497"/>
      <c r="I19" s="497"/>
      <c r="J19" s="497"/>
      <c r="K19" s="507"/>
      <c r="L19" s="497"/>
      <c r="M19" s="172"/>
      <c r="N19" s="172"/>
      <c r="O19" s="172"/>
      <c r="P19" s="172"/>
      <c r="Q19" s="258"/>
      <c r="R19" s="258"/>
      <c r="S19" s="31"/>
      <c r="T19" s="31"/>
      <c r="U19" s="31"/>
      <c r="V19" s="2"/>
      <c r="W19" s="2"/>
      <c r="X19" s="2"/>
    </row>
    <row r="20" spans="1:24" s="52" customFormat="1" x14ac:dyDescent="0.3">
      <c r="A20" s="225"/>
      <c r="B20" s="229">
        <v>17</v>
      </c>
      <c r="C20" s="196">
        <v>43846</v>
      </c>
      <c r="D20" s="230">
        <v>45</v>
      </c>
      <c r="E20" s="231">
        <f t="shared" si="1"/>
        <v>0</v>
      </c>
      <c r="F20" s="504"/>
      <c r="G20" s="195">
        <f t="shared" si="2"/>
        <v>15.3</v>
      </c>
      <c r="H20" s="497"/>
      <c r="I20" s="497"/>
      <c r="J20" s="497"/>
      <c r="K20" s="507"/>
      <c r="L20" s="497"/>
      <c r="M20" s="172"/>
      <c r="N20" s="172"/>
      <c r="O20" s="172"/>
      <c r="P20" s="172"/>
      <c r="Q20" s="258"/>
      <c r="R20" s="258"/>
      <c r="S20" s="31"/>
      <c r="T20" s="31"/>
      <c r="U20" s="31"/>
      <c r="V20" s="2"/>
      <c r="W20" s="2"/>
      <c r="X20" s="2"/>
    </row>
    <row r="21" spans="1:24" s="52" customFormat="1" x14ac:dyDescent="0.3">
      <c r="A21" s="225"/>
      <c r="B21" s="229">
        <v>18</v>
      </c>
      <c r="C21" s="196">
        <v>43847</v>
      </c>
      <c r="D21" s="230">
        <v>62</v>
      </c>
      <c r="E21" s="231">
        <f t="shared" si="1"/>
        <v>17</v>
      </c>
      <c r="F21" s="504"/>
      <c r="G21" s="195">
        <f t="shared" si="2"/>
        <v>15.3</v>
      </c>
      <c r="H21" s="497"/>
      <c r="I21" s="497"/>
      <c r="J21" s="497"/>
      <c r="K21" s="507"/>
      <c r="L21" s="497"/>
      <c r="M21" s="172"/>
      <c r="N21" s="172"/>
      <c r="O21" s="172"/>
      <c r="P21" s="172"/>
      <c r="Q21" s="258"/>
      <c r="R21" s="258"/>
      <c r="S21" s="31"/>
      <c r="T21" s="31"/>
      <c r="U21" s="31"/>
      <c r="V21" s="2"/>
      <c r="W21" s="2"/>
      <c r="X21" s="2"/>
    </row>
    <row r="22" spans="1:24" s="52" customFormat="1" x14ac:dyDescent="0.3">
      <c r="A22" s="225"/>
      <c r="B22" s="229">
        <v>19</v>
      </c>
      <c r="C22" s="196">
        <v>43848</v>
      </c>
      <c r="D22" s="230">
        <v>121</v>
      </c>
      <c r="E22" s="231">
        <f t="shared" si="1"/>
        <v>59</v>
      </c>
      <c r="F22" s="504"/>
      <c r="G22" s="195">
        <f t="shared" si="2"/>
        <v>15.3</v>
      </c>
      <c r="H22" s="497"/>
      <c r="I22" s="497"/>
      <c r="J22" s="497"/>
      <c r="K22" s="507"/>
      <c r="L22" s="497"/>
      <c r="M22" s="172"/>
      <c r="N22" s="172"/>
      <c r="O22" s="172"/>
      <c r="P22" s="172"/>
      <c r="Q22" s="258"/>
      <c r="R22" s="258"/>
      <c r="S22" s="31"/>
      <c r="T22" s="31"/>
      <c r="U22" s="31"/>
      <c r="V22" s="2"/>
      <c r="W22" s="2"/>
      <c r="X22" s="2"/>
    </row>
    <row r="23" spans="1:24" s="52" customFormat="1" ht="19.5" thickBot="1" x14ac:dyDescent="0.35">
      <c r="A23" s="225"/>
      <c r="B23" s="233">
        <v>20</v>
      </c>
      <c r="C23" s="203">
        <v>43849</v>
      </c>
      <c r="D23" s="234">
        <v>198</v>
      </c>
      <c r="E23" s="235">
        <f t="shared" si="1"/>
        <v>77</v>
      </c>
      <c r="F23" s="505"/>
      <c r="G23" s="195">
        <f t="shared" si="2"/>
        <v>15.3</v>
      </c>
      <c r="H23" s="498"/>
      <c r="I23" s="498"/>
      <c r="J23" s="498"/>
      <c r="K23" s="508"/>
      <c r="L23" s="498"/>
      <c r="M23" s="172"/>
      <c r="N23" s="172"/>
      <c r="O23" s="172"/>
      <c r="P23" s="172"/>
      <c r="Q23" s="258"/>
      <c r="R23" s="258"/>
      <c r="S23" s="31"/>
      <c r="T23" s="31"/>
      <c r="U23" s="31"/>
      <c r="V23" s="2"/>
      <c r="W23" s="2"/>
      <c r="X23" s="2"/>
    </row>
    <row r="24" spans="1:24" s="52" customFormat="1" x14ac:dyDescent="0.3">
      <c r="A24" s="225"/>
      <c r="B24" s="236">
        <v>21</v>
      </c>
      <c r="C24" s="204">
        <v>43850</v>
      </c>
      <c r="D24" s="237">
        <v>291</v>
      </c>
      <c r="E24" s="228">
        <f t="shared" si="1"/>
        <v>93</v>
      </c>
      <c r="F24" s="503">
        <f>SUM(E24:E33)</f>
        <v>7513</v>
      </c>
      <c r="G24" s="195">
        <f t="shared" ref="G24:G33" si="3">H$24/10</f>
        <v>751.3</v>
      </c>
      <c r="H24" s="496">
        <f>SUM(E24:E33)</f>
        <v>7513</v>
      </c>
      <c r="I24" s="496">
        <v>124</v>
      </c>
      <c r="J24" s="496">
        <v>153</v>
      </c>
      <c r="K24" s="513">
        <f>H24/SUM(H14+H4-I14-I4-J14-J4)</f>
        <v>37.944444444444443</v>
      </c>
      <c r="L24" s="496">
        <f>H24*0.05</f>
        <v>375.65000000000003</v>
      </c>
      <c r="M24" s="172"/>
      <c r="N24" s="172"/>
      <c r="O24" s="172"/>
      <c r="P24" s="172"/>
      <c r="Q24" s="258"/>
      <c r="R24" s="258"/>
      <c r="S24" s="31"/>
      <c r="T24" s="31"/>
      <c r="U24" s="31"/>
      <c r="V24" s="2"/>
      <c r="W24" s="2"/>
      <c r="X24" s="2"/>
    </row>
    <row r="25" spans="1:24" s="52" customFormat="1" ht="19.5" thickBot="1" x14ac:dyDescent="0.35">
      <c r="A25" s="225"/>
      <c r="B25" s="238">
        <v>22</v>
      </c>
      <c r="C25" s="206">
        <v>43851</v>
      </c>
      <c r="D25" s="239">
        <v>440</v>
      </c>
      <c r="E25" s="231">
        <f t="shared" si="1"/>
        <v>149</v>
      </c>
      <c r="F25" s="504"/>
      <c r="G25" s="195">
        <f t="shared" si="3"/>
        <v>751.3</v>
      </c>
      <c r="H25" s="497"/>
      <c r="I25" s="497"/>
      <c r="J25" s="497"/>
      <c r="K25" s="514"/>
      <c r="L25" s="497"/>
      <c r="M25" s="172"/>
      <c r="N25" s="172"/>
      <c r="O25" s="172"/>
      <c r="P25" s="172"/>
      <c r="Q25" s="258"/>
      <c r="R25" s="258"/>
      <c r="S25" s="31"/>
      <c r="T25" s="31"/>
      <c r="U25" s="31"/>
      <c r="V25" s="2"/>
      <c r="W25" s="2"/>
      <c r="X25" s="2"/>
    </row>
    <row r="26" spans="1:24" s="52" customFormat="1" ht="23.25" customHeight="1" x14ac:dyDescent="0.3">
      <c r="A26" s="225"/>
      <c r="B26" s="238">
        <v>23</v>
      </c>
      <c r="C26" s="204">
        <v>43852</v>
      </c>
      <c r="D26" s="239">
        <v>571</v>
      </c>
      <c r="E26" s="231">
        <f t="shared" si="1"/>
        <v>131</v>
      </c>
      <c r="F26" s="504"/>
      <c r="G26" s="195">
        <f t="shared" si="3"/>
        <v>751.3</v>
      </c>
      <c r="H26" s="497"/>
      <c r="I26" s="497"/>
      <c r="J26" s="497"/>
      <c r="K26" s="514"/>
      <c r="L26" s="497"/>
      <c r="M26" s="172"/>
      <c r="N26" s="172"/>
      <c r="O26" s="172"/>
      <c r="P26" s="172"/>
      <c r="Q26" s="258"/>
      <c r="R26" s="258"/>
      <c r="S26" s="31"/>
      <c r="T26" s="31"/>
      <c r="U26" s="31"/>
      <c r="V26" s="2"/>
      <c r="W26" s="2"/>
      <c r="X26" s="2"/>
    </row>
    <row r="27" spans="1:24" s="52" customFormat="1" ht="19.5" thickBot="1" x14ac:dyDescent="0.35">
      <c r="A27" s="225"/>
      <c r="B27" s="238">
        <v>24</v>
      </c>
      <c r="C27" s="206">
        <v>43853</v>
      </c>
      <c r="D27" s="240">
        <v>830</v>
      </c>
      <c r="E27" s="231">
        <f t="shared" si="1"/>
        <v>259</v>
      </c>
      <c r="F27" s="504"/>
      <c r="G27" s="195">
        <f t="shared" si="3"/>
        <v>751.3</v>
      </c>
      <c r="H27" s="497"/>
      <c r="I27" s="497"/>
      <c r="J27" s="497"/>
      <c r="K27" s="514"/>
      <c r="L27" s="497"/>
      <c r="M27" s="172"/>
      <c r="N27" s="172"/>
      <c r="O27" s="172"/>
      <c r="P27" s="172"/>
      <c r="Q27" s="258"/>
      <c r="R27" s="258"/>
      <c r="S27" s="31"/>
      <c r="T27" s="31"/>
      <c r="U27" s="31"/>
      <c r="V27" s="2"/>
      <c r="W27" s="2"/>
      <c r="X27" s="2"/>
    </row>
    <row r="28" spans="1:24" s="52" customFormat="1" x14ac:dyDescent="0.3">
      <c r="A28" s="225"/>
      <c r="B28" s="238">
        <v>25</v>
      </c>
      <c r="C28" s="204">
        <v>43854</v>
      </c>
      <c r="D28" s="240">
        <v>1287</v>
      </c>
      <c r="E28" s="231">
        <f t="shared" si="1"/>
        <v>457</v>
      </c>
      <c r="F28" s="504"/>
      <c r="G28" s="195">
        <f t="shared" si="3"/>
        <v>751.3</v>
      </c>
      <c r="H28" s="497"/>
      <c r="I28" s="497"/>
      <c r="J28" s="497"/>
      <c r="K28" s="514"/>
      <c r="L28" s="497"/>
      <c r="M28" s="172"/>
      <c r="N28" s="172"/>
      <c r="O28" s="172"/>
      <c r="P28" s="172"/>
      <c r="Q28" s="258"/>
      <c r="R28" s="258"/>
      <c r="S28" s="31"/>
      <c r="T28" s="31"/>
      <c r="U28" s="31"/>
      <c r="V28" s="2"/>
      <c r="W28" s="2"/>
      <c r="X28" s="2"/>
    </row>
    <row r="29" spans="1:24" s="52" customFormat="1" ht="19.5" thickBot="1" x14ac:dyDescent="0.35">
      <c r="A29" s="225"/>
      <c r="B29" s="238">
        <v>26</v>
      </c>
      <c r="C29" s="209">
        <v>43855</v>
      </c>
      <c r="D29" s="240">
        <v>1975</v>
      </c>
      <c r="E29" s="231">
        <f t="shared" si="1"/>
        <v>688</v>
      </c>
      <c r="F29" s="504"/>
      <c r="G29" s="195">
        <f t="shared" si="3"/>
        <v>751.3</v>
      </c>
      <c r="H29" s="497"/>
      <c r="I29" s="497"/>
      <c r="J29" s="497"/>
      <c r="K29" s="514"/>
      <c r="L29" s="497"/>
      <c r="M29" s="172"/>
      <c r="N29" s="172"/>
      <c r="O29" s="172"/>
      <c r="P29" s="172"/>
      <c r="Q29" s="258"/>
      <c r="R29" s="258"/>
      <c r="S29" s="31"/>
      <c r="T29" s="31"/>
      <c r="U29" s="31"/>
      <c r="V29" s="2"/>
      <c r="W29" s="2"/>
      <c r="X29" s="2"/>
    </row>
    <row r="30" spans="1:24" s="52" customFormat="1" x14ac:dyDescent="0.3">
      <c r="A30" s="225"/>
      <c r="B30" s="238">
        <v>27</v>
      </c>
      <c r="C30" s="210">
        <v>43856</v>
      </c>
      <c r="D30" s="240">
        <v>2744</v>
      </c>
      <c r="E30" s="231">
        <f t="shared" si="1"/>
        <v>769</v>
      </c>
      <c r="F30" s="504"/>
      <c r="G30" s="195">
        <f t="shared" si="3"/>
        <v>751.3</v>
      </c>
      <c r="H30" s="497"/>
      <c r="I30" s="497"/>
      <c r="J30" s="497"/>
      <c r="K30" s="514"/>
      <c r="L30" s="497"/>
      <c r="M30" s="172"/>
      <c r="N30" s="172"/>
      <c r="O30" s="172"/>
      <c r="P30" s="172"/>
      <c r="Q30" s="258"/>
      <c r="R30" s="258"/>
      <c r="S30" s="31"/>
      <c r="T30" s="31"/>
      <c r="U30" s="31"/>
      <c r="V30" s="2"/>
      <c r="W30" s="2"/>
      <c r="X30" s="2"/>
    </row>
    <row r="31" spans="1:24" s="52" customFormat="1" ht="19.5" thickBot="1" x14ac:dyDescent="0.35">
      <c r="A31" s="241">
        <v>1</v>
      </c>
      <c r="B31" s="238">
        <v>28</v>
      </c>
      <c r="C31" s="211">
        <v>43857</v>
      </c>
      <c r="D31" s="240">
        <v>4515</v>
      </c>
      <c r="E31" s="231">
        <f t="shared" si="1"/>
        <v>1771</v>
      </c>
      <c r="F31" s="504"/>
      <c r="G31" s="195">
        <f t="shared" si="3"/>
        <v>751.3</v>
      </c>
      <c r="H31" s="497"/>
      <c r="I31" s="497"/>
      <c r="J31" s="497"/>
      <c r="K31" s="514"/>
      <c r="L31" s="497"/>
      <c r="M31" s="172"/>
      <c r="N31" s="172"/>
      <c r="O31" s="172"/>
      <c r="P31" s="172"/>
      <c r="Q31" s="258"/>
      <c r="R31" s="258"/>
      <c r="S31" s="31"/>
      <c r="T31" s="31"/>
      <c r="U31" s="31"/>
      <c r="V31" s="2"/>
      <c r="W31" s="2"/>
      <c r="X31" s="2"/>
    </row>
    <row r="32" spans="1:24" s="52" customFormat="1" x14ac:dyDescent="0.3">
      <c r="A32" s="225">
        <v>2</v>
      </c>
      <c r="B32" s="238">
        <v>29</v>
      </c>
      <c r="C32" s="209">
        <v>43858</v>
      </c>
      <c r="D32" s="240">
        <v>5974</v>
      </c>
      <c r="E32" s="231">
        <f t="shared" si="1"/>
        <v>1459</v>
      </c>
      <c r="F32" s="504"/>
      <c r="G32" s="195">
        <f t="shared" si="3"/>
        <v>751.3</v>
      </c>
      <c r="H32" s="497"/>
      <c r="I32" s="497"/>
      <c r="J32" s="497"/>
      <c r="K32" s="514"/>
      <c r="L32" s="497"/>
      <c r="M32" s="172"/>
      <c r="N32" s="172"/>
      <c r="O32" s="172"/>
      <c r="P32" s="172"/>
      <c r="Q32" s="258"/>
      <c r="R32" s="258"/>
      <c r="S32" s="31"/>
      <c r="T32" s="31"/>
      <c r="U32" s="31"/>
      <c r="V32" s="2"/>
      <c r="W32" s="2"/>
      <c r="X32" s="2"/>
    </row>
    <row r="33" spans="1:24" s="31" customFormat="1" ht="19.5" thickBot="1" x14ac:dyDescent="0.3">
      <c r="A33" s="225">
        <v>3</v>
      </c>
      <c r="B33" s="242">
        <v>30</v>
      </c>
      <c r="C33" s="206">
        <v>43859</v>
      </c>
      <c r="D33" s="243">
        <v>7711</v>
      </c>
      <c r="E33" s="235">
        <f t="shared" si="1"/>
        <v>1737</v>
      </c>
      <c r="F33" s="505"/>
      <c r="G33" s="195">
        <f t="shared" si="3"/>
        <v>751.3</v>
      </c>
      <c r="H33" s="498"/>
      <c r="I33" s="498"/>
      <c r="J33" s="498"/>
      <c r="K33" s="515"/>
      <c r="L33" s="498"/>
      <c r="M33" s="172"/>
      <c r="N33" s="172"/>
      <c r="O33" s="172"/>
      <c r="P33" s="172"/>
      <c r="Q33" s="258"/>
      <c r="R33" s="258"/>
      <c r="V33" s="2"/>
      <c r="W33" s="2"/>
      <c r="X33" s="2"/>
    </row>
    <row r="34" spans="1:24" s="31" customFormat="1" x14ac:dyDescent="0.25">
      <c r="A34" s="225">
        <v>4</v>
      </c>
      <c r="B34" s="226">
        <v>31</v>
      </c>
      <c r="C34" s="192">
        <v>43860</v>
      </c>
      <c r="D34" s="227">
        <v>9692</v>
      </c>
      <c r="E34" s="228">
        <f t="shared" si="1"/>
        <v>1981</v>
      </c>
      <c r="F34" s="503">
        <f>SUM(E34:E43)</f>
        <v>29487</v>
      </c>
      <c r="G34" s="195">
        <f t="shared" ref="G34:G43" si="4">F$34/10</f>
        <v>2948.7</v>
      </c>
      <c r="H34" s="496">
        <f>SUM(G34:G43)</f>
        <v>29487.000000000004</v>
      </c>
      <c r="I34" s="496">
        <v>599</v>
      </c>
      <c r="J34" s="496">
        <v>641</v>
      </c>
      <c r="K34" s="510">
        <f>H34/SUM(H24+H14+H4-I24-I14-I4-J24-J14-J4)</f>
        <v>3.9665052461662635</v>
      </c>
      <c r="L34" s="496">
        <f>H34*0.05</f>
        <v>1474.3500000000004</v>
      </c>
      <c r="M34" s="172"/>
      <c r="N34" s="172"/>
      <c r="O34" s="172"/>
      <c r="P34" s="172"/>
      <c r="Q34" s="258"/>
      <c r="R34" s="258"/>
      <c r="V34" s="2"/>
      <c r="W34" s="2"/>
      <c r="X34" s="2"/>
    </row>
    <row r="35" spans="1:24" s="31" customFormat="1" x14ac:dyDescent="0.25">
      <c r="A35" s="225">
        <v>5</v>
      </c>
      <c r="B35" s="229">
        <v>32</v>
      </c>
      <c r="C35" s="196">
        <v>43861</v>
      </c>
      <c r="D35" s="244">
        <v>11791</v>
      </c>
      <c r="E35" s="231">
        <f t="shared" si="1"/>
        <v>2099</v>
      </c>
      <c r="F35" s="504"/>
      <c r="G35" s="195">
        <f t="shared" si="4"/>
        <v>2948.7</v>
      </c>
      <c r="H35" s="497"/>
      <c r="I35" s="497"/>
      <c r="J35" s="497"/>
      <c r="K35" s="511"/>
      <c r="L35" s="497"/>
      <c r="M35" s="172"/>
      <c r="N35" s="172"/>
      <c r="O35" s="172"/>
      <c r="P35" s="172"/>
      <c r="Q35" s="258"/>
      <c r="R35" s="258"/>
      <c r="V35" s="2"/>
      <c r="W35" s="2"/>
      <c r="X35" s="2"/>
    </row>
    <row r="36" spans="1:24" s="31" customFormat="1" ht="15.75" x14ac:dyDescent="0.25">
      <c r="A36" s="225">
        <v>6</v>
      </c>
      <c r="B36" s="229">
        <v>33</v>
      </c>
      <c r="C36" s="196">
        <v>43862</v>
      </c>
      <c r="D36" s="244">
        <v>14380</v>
      </c>
      <c r="E36" s="231">
        <f t="shared" si="1"/>
        <v>2589</v>
      </c>
      <c r="F36" s="504"/>
      <c r="G36" s="195">
        <f t="shared" si="4"/>
        <v>2948.7</v>
      </c>
      <c r="H36" s="497"/>
      <c r="I36" s="497"/>
      <c r="J36" s="497"/>
      <c r="K36" s="511"/>
      <c r="L36" s="509"/>
      <c r="M36" s="360"/>
      <c r="N36" s="360"/>
      <c r="O36" s="360"/>
      <c r="P36" s="360"/>
      <c r="Q36" s="360"/>
      <c r="R36" s="360"/>
      <c r="V36" s="2"/>
      <c r="W36" s="2"/>
      <c r="X36" s="2"/>
    </row>
    <row r="37" spans="1:24" s="31" customFormat="1" ht="15.75" x14ac:dyDescent="0.25">
      <c r="A37" s="225">
        <v>7</v>
      </c>
      <c r="B37" s="229">
        <v>34</v>
      </c>
      <c r="C37" s="196">
        <v>43863</v>
      </c>
      <c r="D37" s="244">
        <v>17205</v>
      </c>
      <c r="E37" s="231">
        <f t="shared" ref="E37:E68" si="5">D37-D36</f>
        <v>2825</v>
      </c>
      <c r="F37" s="504"/>
      <c r="G37" s="195">
        <f t="shared" si="4"/>
        <v>2948.7</v>
      </c>
      <c r="H37" s="497"/>
      <c r="I37" s="497"/>
      <c r="J37" s="497"/>
      <c r="K37" s="511"/>
      <c r="L37" s="509"/>
      <c r="M37" s="360"/>
      <c r="N37" s="360"/>
      <c r="O37" s="360"/>
      <c r="P37" s="360"/>
      <c r="Q37" s="360"/>
      <c r="R37" s="360"/>
      <c r="V37" s="2"/>
      <c r="W37" s="2"/>
      <c r="X37" s="2"/>
    </row>
    <row r="38" spans="1:24" s="31" customFormat="1" ht="15.75" x14ac:dyDescent="0.25">
      <c r="A38" s="225">
        <v>8</v>
      </c>
      <c r="B38" s="229">
        <v>35</v>
      </c>
      <c r="C38" s="196">
        <v>43864</v>
      </c>
      <c r="D38" s="244">
        <v>20440</v>
      </c>
      <c r="E38" s="231">
        <f t="shared" si="5"/>
        <v>3235</v>
      </c>
      <c r="F38" s="504"/>
      <c r="G38" s="195">
        <f t="shared" si="4"/>
        <v>2948.7</v>
      </c>
      <c r="H38" s="497"/>
      <c r="I38" s="497"/>
      <c r="J38" s="497"/>
      <c r="K38" s="511"/>
      <c r="L38" s="509"/>
      <c r="M38" s="360"/>
      <c r="N38" s="360"/>
      <c r="O38" s="360"/>
      <c r="P38" s="360"/>
      <c r="Q38" s="360"/>
      <c r="R38" s="360"/>
      <c r="V38" s="2"/>
      <c r="W38" s="2"/>
      <c r="X38" s="2"/>
    </row>
    <row r="39" spans="1:24" s="31" customFormat="1" ht="15.75" x14ac:dyDescent="0.25">
      <c r="A39" s="225">
        <v>9</v>
      </c>
      <c r="B39" s="229">
        <v>36</v>
      </c>
      <c r="C39" s="196">
        <v>43865</v>
      </c>
      <c r="D39" s="244">
        <v>24324</v>
      </c>
      <c r="E39" s="231">
        <f t="shared" si="5"/>
        <v>3884</v>
      </c>
      <c r="F39" s="504"/>
      <c r="G39" s="195">
        <f t="shared" si="4"/>
        <v>2948.7</v>
      </c>
      <c r="H39" s="497"/>
      <c r="I39" s="497"/>
      <c r="J39" s="497"/>
      <c r="K39" s="511"/>
      <c r="L39" s="509"/>
      <c r="M39" s="360"/>
      <c r="N39" s="360"/>
      <c r="O39" s="360"/>
      <c r="P39" s="360"/>
      <c r="Q39" s="360"/>
      <c r="R39" s="360"/>
      <c r="V39" s="2"/>
      <c r="W39" s="2"/>
      <c r="X39" s="2"/>
    </row>
    <row r="40" spans="1:24" s="31" customFormat="1" ht="15.75" x14ac:dyDescent="0.25">
      <c r="A40" s="225">
        <v>10</v>
      </c>
      <c r="B40" s="229">
        <v>37</v>
      </c>
      <c r="C40" s="196">
        <v>43866</v>
      </c>
      <c r="D40" s="244">
        <v>28018</v>
      </c>
      <c r="E40" s="231">
        <f t="shared" si="5"/>
        <v>3694</v>
      </c>
      <c r="F40" s="504"/>
      <c r="G40" s="195">
        <f t="shared" si="4"/>
        <v>2948.7</v>
      </c>
      <c r="H40" s="497"/>
      <c r="I40" s="497"/>
      <c r="J40" s="497"/>
      <c r="K40" s="511"/>
      <c r="L40" s="509"/>
      <c r="M40" s="360"/>
      <c r="N40" s="360"/>
      <c r="O40" s="360"/>
      <c r="P40" s="360"/>
      <c r="Q40" s="360"/>
      <c r="R40" s="360"/>
      <c r="V40" s="2"/>
      <c r="W40" s="2"/>
      <c r="X40" s="2"/>
    </row>
    <row r="41" spans="1:24" s="31" customFormat="1" ht="15.75" x14ac:dyDescent="0.25">
      <c r="A41" s="225">
        <v>11</v>
      </c>
      <c r="B41" s="229">
        <v>38</v>
      </c>
      <c r="C41" s="196">
        <v>43867</v>
      </c>
      <c r="D41" s="244">
        <v>31161</v>
      </c>
      <c r="E41" s="231">
        <f t="shared" si="5"/>
        <v>3143</v>
      </c>
      <c r="F41" s="504"/>
      <c r="G41" s="195">
        <f t="shared" si="4"/>
        <v>2948.7</v>
      </c>
      <c r="H41" s="497"/>
      <c r="I41" s="497"/>
      <c r="J41" s="497"/>
      <c r="K41" s="511"/>
      <c r="L41" s="509"/>
      <c r="M41" s="360"/>
      <c r="N41" s="360"/>
      <c r="O41" s="360"/>
      <c r="P41" s="360"/>
      <c r="Q41" s="360"/>
      <c r="R41" s="360"/>
      <c r="V41" s="2"/>
      <c r="W41" s="2"/>
      <c r="X41" s="2"/>
    </row>
    <row r="42" spans="1:24" s="31" customFormat="1" x14ac:dyDescent="0.25">
      <c r="A42" s="225">
        <v>12</v>
      </c>
      <c r="B42" s="229">
        <v>39</v>
      </c>
      <c r="C42" s="196">
        <v>43868</v>
      </c>
      <c r="D42" s="244">
        <v>34546</v>
      </c>
      <c r="E42" s="231">
        <f t="shared" si="5"/>
        <v>3385</v>
      </c>
      <c r="F42" s="504"/>
      <c r="G42" s="195">
        <f t="shared" si="4"/>
        <v>2948.7</v>
      </c>
      <c r="H42" s="497"/>
      <c r="I42" s="497"/>
      <c r="J42" s="497"/>
      <c r="K42" s="511"/>
      <c r="L42" s="497"/>
      <c r="M42" s="172"/>
      <c r="N42" s="172"/>
      <c r="O42" s="172"/>
      <c r="P42" s="172"/>
      <c r="Q42" s="258"/>
      <c r="R42" s="258"/>
      <c r="V42" s="2"/>
      <c r="W42" s="2"/>
      <c r="X42" s="2"/>
    </row>
    <row r="43" spans="1:24" s="31" customFormat="1" ht="19.5" thickBot="1" x14ac:dyDescent="0.3">
      <c r="A43" s="225">
        <v>13</v>
      </c>
      <c r="B43" s="233">
        <v>40</v>
      </c>
      <c r="C43" s="200">
        <v>43869</v>
      </c>
      <c r="D43" s="245">
        <v>37198</v>
      </c>
      <c r="E43" s="235">
        <f t="shared" si="5"/>
        <v>2652</v>
      </c>
      <c r="F43" s="505"/>
      <c r="G43" s="195">
        <f t="shared" si="4"/>
        <v>2948.7</v>
      </c>
      <c r="H43" s="498"/>
      <c r="I43" s="498"/>
      <c r="J43" s="498"/>
      <c r="K43" s="512"/>
      <c r="L43" s="498"/>
      <c r="M43" s="172"/>
      <c r="N43" s="172"/>
      <c r="O43" s="172"/>
      <c r="P43" s="172"/>
      <c r="Q43" s="258"/>
      <c r="R43" s="258"/>
      <c r="V43" s="2"/>
      <c r="W43" s="2"/>
      <c r="X43" s="2"/>
    </row>
    <row r="44" spans="1:24" s="31" customFormat="1" x14ac:dyDescent="0.25">
      <c r="A44" s="225">
        <v>14</v>
      </c>
      <c r="B44" s="226">
        <v>41</v>
      </c>
      <c r="C44" s="192">
        <v>43870</v>
      </c>
      <c r="D44" s="227">
        <v>40171</v>
      </c>
      <c r="E44" s="228">
        <f t="shared" si="5"/>
        <v>2973</v>
      </c>
      <c r="F44" s="503">
        <f>SUM(E44:E59)</f>
        <v>40460</v>
      </c>
      <c r="G44" s="195">
        <f t="shared" ref="G44:G53" si="6">F$44/10</f>
        <v>4046</v>
      </c>
      <c r="H44" s="496">
        <f>SUM(G44:G53)</f>
        <v>40460</v>
      </c>
      <c r="I44" s="496">
        <v>11727</v>
      </c>
      <c r="J44" s="496">
        <v>1193</v>
      </c>
      <c r="K44" s="506">
        <f>H44/SUM(H34+H24+H14+H4-I34-I24-I14-I4-J34-J24-J14-J4)</f>
        <v>1.1339368291247442</v>
      </c>
      <c r="L44" s="496">
        <f>H44*0.05</f>
        <v>2023</v>
      </c>
      <c r="M44" s="172"/>
      <c r="N44" s="172"/>
      <c r="O44" s="172"/>
      <c r="P44" s="172"/>
      <c r="Q44" s="258"/>
      <c r="R44" s="258"/>
      <c r="V44" s="2"/>
      <c r="W44" s="2"/>
      <c r="X44" s="2"/>
    </row>
    <row r="45" spans="1:24" s="31" customFormat="1" x14ac:dyDescent="0.25">
      <c r="A45" s="225">
        <v>15</v>
      </c>
      <c r="B45" s="229">
        <v>42</v>
      </c>
      <c r="C45" s="196">
        <v>43871</v>
      </c>
      <c r="D45" s="244">
        <v>42638</v>
      </c>
      <c r="E45" s="231">
        <f t="shared" si="5"/>
        <v>2467</v>
      </c>
      <c r="F45" s="504"/>
      <c r="G45" s="195">
        <f t="shared" si="6"/>
        <v>4046</v>
      </c>
      <c r="H45" s="497"/>
      <c r="I45" s="497"/>
      <c r="J45" s="497"/>
      <c r="K45" s="507"/>
      <c r="L45" s="497"/>
      <c r="M45" s="172"/>
      <c r="N45" s="172"/>
      <c r="O45" s="172"/>
      <c r="P45" s="172"/>
      <c r="Q45" s="258"/>
      <c r="R45" s="258"/>
      <c r="V45" s="2"/>
      <c r="W45" s="2"/>
      <c r="X45" s="2"/>
    </row>
    <row r="46" spans="1:24" s="31" customFormat="1" x14ac:dyDescent="0.25">
      <c r="A46" s="225">
        <v>16</v>
      </c>
      <c r="B46" s="229">
        <v>43</v>
      </c>
      <c r="C46" s="196">
        <v>43872</v>
      </c>
      <c r="D46" s="244">
        <v>44653</v>
      </c>
      <c r="E46" s="231">
        <f t="shared" si="5"/>
        <v>2015</v>
      </c>
      <c r="F46" s="504"/>
      <c r="G46" s="195">
        <f t="shared" si="6"/>
        <v>4046</v>
      </c>
      <c r="H46" s="497"/>
      <c r="I46" s="497"/>
      <c r="J46" s="497"/>
      <c r="K46" s="507"/>
      <c r="L46" s="497"/>
      <c r="M46" s="172"/>
      <c r="N46" s="172"/>
      <c r="O46" s="172"/>
      <c r="P46" s="172"/>
      <c r="Q46" s="258"/>
      <c r="R46" s="258"/>
      <c r="V46" s="2"/>
      <c r="W46" s="2"/>
      <c r="X46" s="2"/>
    </row>
    <row r="47" spans="1:24" s="31" customFormat="1" x14ac:dyDescent="0.25">
      <c r="A47" s="225">
        <v>17</v>
      </c>
      <c r="B47" s="229">
        <v>44</v>
      </c>
      <c r="C47" s="196">
        <v>43873</v>
      </c>
      <c r="D47" s="244">
        <v>58761</v>
      </c>
      <c r="E47" s="231">
        <f t="shared" si="5"/>
        <v>14108</v>
      </c>
      <c r="F47" s="504"/>
      <c r="G47" s="195">
        <f t="shared" si="6"/>
        <v>4046</v>
      </c>
      <c r="H47" s="497"/>
      <c r="I47" s="497"/>
      <c r="J47" s="497"/>
      <c r="K47" s="507"/>
      <c r="L47" s="497"/>
      <c r="M47" s="172"/>
      <c r="N47" s="172"/>
      <c r="O47" s="172"/>
      <c r="P47" s="172"/>
      <c r="Q47" s="258"/>
      <c r="R47" s="258"/>
      <c r="V47" s="2"/>
      <c r="W47" s="2"/>
      <c r="X47" s="2"/>
    </row>
    <row r="48" spans="1:24" s="31" customFormat="1" x14ac:dyDescent="0.25">
      <c r="A48" s="225">
        <v>18</v>
      </c>
      <c r="B48" s="229">
        <v>45</v>
      </c>
      <c r="C48" s="196">
        <v>43874</v>
      </c>
      <c r="D48" s="244">
        <v>63851</v>
      </c>
      <c r="E48" s="231">
        <f t="shared" si="5"/>
        <v>5090</v>
      </c>
      <c r="F48" s="504"/>
      <c r="G48" s="195">
        <f t="shared" si="6"/>
        <v>4046</v>
      </c>
      <c r="H48" s="497"/>
      <c r="I48" s="497"/>
      <c r="J48" s="497"/>
      <c r="K48" s="507"/>
      <c r="L48" s="497"/>
      <c r="M48" s="172"/>
      <c r="N48" s="172"/>
      <c r="O48" s="172"/>
      <c r="P48" s="172"/>
      <c r="Q48" s="258"/>
      <c r="R48" s="258"/>
      <c r="V48" s="2"/>
      <c r="W48" s="2"/>
      <c r="X48" s="2"/>
    </row>
    <row r="49" spans="1:24" s="52" customFormat="1" x14ac:dyDescent="0.3">
      <c r="A49" s="225">
        <v>19</v>
      </c>
      <c r="B49" s="229">
        <v>46</v>
      </c>
      <c r="C49" s="196">
        <v>43875</v>
      </c>
      <c r="D49" s="244">
        <v>66492</v>
      </c>
      <c r="E49" s="231">
        <f t="shared" si="5"/>
        <v>2641</v>
      </c>
      <c r="F49" s="504"/>
      <c r="G49" s="195">
        <f t="shared" si="6"/>
        <v>4046</v>
      </c>
      <c r="H49" s="497"/>
      <c r="I49" s="497"/>
      <c r="J49" s="497"/>
      <c r="K49" s="507"/>
      <c r="L49" s="497"/>
      <c r="M49" s="172"/>
      <c r="N49" s="172"/>
      <c r="O49" s="172"/>
      <c r="P49" s="172"/>
      <c r="Q49" s="258"/>
      <c r="R49" s="258"/>
      <c r="S49" s="31"/>
      <c r="T49" s="31"/>
      <c r="U49" s="31"/>
      <c r="V49" s="2"/>
      <c r="W49" s="2"/>
      <c r="X49" s="2"/>
    </row>
    <row r="50" spans="1:24" s="52" customFormat="1" x14ac:dyDescent="0.3">
      <c r="A50" s="246">
        <v>20</v>
      </c>
      <c r="B50" s="229">
        <v>47</v>
      </c>
      <c r="C50" s="196">
        <v>43876</v>
      </c>
      <c r="D50" s="244">
        <v>68500</v>
      </c>
      <c r="E50" s="231">
        <f t="shared" si="5"/>
        <v>2008</v>
      </c>
      <c r="F50" s="504"/>
      <c r="G50" s="195">
        <f t="shared" si="6"/>
        <v>4046</v>
      </c>
      <c r="H50" s="497"/>
      <c r="I50" s="497"/>
      <c r="J50" s="497"/>
      <c r="K50" s="507"/>
      <c r="L50" s="497"/>
      <c r="M50" s="172"/>
      <c r="N50" s="172"/>
      <c r="O50" s="172"/>
      <c r="P50" s="172"/>
      <c r="Q50" s="258"/>
      <c r="R50" s="258"/>
      <c r="S50" s="31"/>
      <c r="T50" s="31"/>
      <c r="U50" s="31"/>
      <c r="V50" s="2"/>
      <c r="W50" s="2"/>
      <c r="X50" s="2"/>
    </row>
    <row r="51" spans="1:24" s="52" customFormat="1" x14ac:dyDescent="0.3">
      <c r="A51" s="225">
        <v>21</v>
      </c>
      <c r="B51" s="229">
        <v>48</v>
      </c>
      <c r="C51" s="196">
        <v>43877</v>
      </c>
      <c r="D51" s="244">
        <v>70548</v>
      </c>
      <c r="E51" s="231">
        <f t="shared" si="5"/>
        <v>2048</v>
      </c>
      <c r="F51" s="504"/>
      <c r="G51" s="195">
        <f t="shared" si="6"/>
        <v>4046</v>
      </c>
      <c r="H51" s="497"/>
      <c r="I51" s="497"/>
      <c r="J51" s="497"/>
      <c r="K51" s="507"/>
      <c r="L51" s="497"/>
      <c r="M51" s="172"/>
      <c r="N51" s="172"/>
      <c r="O51" s="172"/>
      <c r="P51" s="172"/>
      <c r="Q51" s="258"/>
      <c r="R51" s="258"/>
      <c r="S51" s="31"/>
      <c r="T51" s="31"/>
      <c r="U51" s="31"/>
      <c r="V51" s="2"/>
      <c r="W51" s="2"/>
      <c r="X51" s="2"/>
    </row>
    <row r="52" spans="1:24" s="52" customFormat="1" x14ac:dyDescent="0.3">
      <c r="A52" s="225">
        <v>22</v>
      </c>
      <c r="B52" s="247">
        <v>49</v>
      </c>
      <c r="C52" s="196">
        <v>43878</v>
      </c>
      <c r="D52" s="244">
        <v>72436</v>
      </c>
      <c r="E52" s="231">
        <f t="shared" si="5"/>
        <v>1888</v>
      </c>
      <c r="F52" s="504"/>
      <c r="G52" s="195">
        <f t="shared" si="6"/>
        <v>4046</v>
      </c>
      <c r="H52" s="497"/>
      <c r="I52" s="497"/>
      <c r="J52" s="497"/>
      <c r="K52" s="507"/>
      <c r="L52" s="497"/>
      <c r="M52" s="172"/>
      <c r="N52" s="172"/>
      <c r="O52" s="172"/>
      <c r="P52" s="172"/>
      <c r="Q52" s="258"/>
      <c r="R52" s="258"/>
      <c r="S52" s="31"/>
      <c r="T52" s="31"/>
      <c r="U52" s="31"/>
      <c r="V52" s="2"/>
      <c r="W52" s="2"/>
      <c r="X52" s="2"/>
    </row>
    <row r="53" spans="1:24" s="52" customFormat="1" ht="19.5" thickBot="1" x14ac:dyDescent="0.35">
      <c r="A53" s="225">
        <v>23</v>
      </c>
      <c r="B53" s="233">
        <v>50</v>
      </c>
      <c r="C53" s="200">
        <v>43879</v>
      </c>
      <c r="D53" s="245">
        <v>74185</v>
      </c>
      <c r="E53" s="235">
        <f t="shared" si="5"/>
        <v>1749</v>
      </c>
      <c r="F53" s="505"/>
      <c r="G53" s="195">
        <f t="shared" si="6"/>
        <v>4046</v>
      </c>
      <c r="H53" s="498"/>
      <c r="I53" s="498"/>
      <c r="J53" s="498"/>
      <c r="K53" s="508"/>
      <c r="L53" s="498"/>
      <c r="M53" s="172"/>
      <c r="N53" s="172"/>
      <c r="O53" s="172"/>
      <c r="P53" s="172"/>
      <c r="Q53" s="258"/>
      <c r="R53" s="258"/>
      <c r="S53" s="31"/>
      <c r="T53" s="31"/>
      <c r="U53" s="31"/>
      <c r="V53" s="2"/>
      <c r="W53" s="2"/>
      <c r="X53" s="2"/>
    </row>
    <row r="54" spans="1:24" s="52" customFormat="1" x14ac:dyDescent="0.3">
      <c r="A54" s="225">
        <v>24</v>
      </c>
      <c r="B54" s="226">
        <v>51</v>
      </c>
      <c r="C54" s="192">
        <v>43880</v>
      </c>
      <c r="D54" s="227">
        <v>74576</v>
      </c>
      <c r="E54" s="228">
        <f t="shared" si="5"/>
        <v>391</v>
      </c>
      <c r="F54" s="503">
        <f>SUM(E54:E63)</f>
        <v>5066</v>
      </c>
      <c r="G54" s="195">
        <f t="shared" ref="G54:G63" si="7">F$54/10</f>
        <v>506.6</v>
      </c>
      <c r="H54" s="496">
        <f>SUM(G54:G63)</f>
        <v>5066</v>
      </c>
      <c r="I54" s="496">
        <v>24626</v>
      </c>
      <c r="J54" s="496">
        <v>831</v>
      </c>
      <c r="K54" s="506">
        <f>H54/SUM(H44+H34+H24+H14+H4-I24-I34-I44-I14-I4-J44-J34-J24-J14-J4)</f>
        <v>8.0131601841160374E-2</v>
      </c>
      <c r="L54" s="496">
        <f>H54*0.05</f>
        <v>253.3</v>
      </c>
      <c r="M54" s="172"/>
      <c r="N54" s="172"/>
      <c r="O54" s="172"/>
      <c r="P54" s="172"/>
      <c r="Q54" s="258"/>
      <c r="R54" s="258"/>
      <c r="S54" s="31"/>
      <c r="T54" s="31"/>
      <c r="U54" s="31"/>
      <c r="V54" s="2"/>
      <c r="W54" s="2"/>
      <c r="X54" s="2"/>
    </row>
    <row r="55" spans="1:24" s="52" customFormat="1" x14ac:dyDescent="0.3">
      <c r="A55" s="225">
        <v>25</v>
      </c>
      <c r="B55" s="229">
        <v>52</v>
      </c>
      <c r="C55" s="196">
        <v>43881</v>
      </c>
      <c r="D55" s="244">
        <v>75465</v>
      </c>
      <c r="E55" s="231">
        <f t="shared" si="5"/>
        <v>889</v>
      </c>
      <c r="F55" s="504"/>
      <c r="G55" s="195">
        <f t="shared" si="7"/>
        <v>506.6</v>
      </c>
      <c r="H55" s="497"/>
      <c r="I55" s="497"/>
      <c r="J55" s="497"/>
      <c r="K55" s="507"/>
      <c r="L55" s="497"/>
      <c r="M55" s="172"/>
      <c r="N55" s="172"/>
      <c r="O55" s="172"/>
      <c r="P55" s="172"/>
      <c r="Q55" s="258"/>
      <c r="R55" s="258"/>
      <c r="S55" s="31"/>
      <c r="T55" s="31"/>
      <c r="U55" s="31"/>
      <c r="V55" s="2"/>
      <c r="W55" s="2"/>
      <c r="X55" s="2"/>
    </row>
    <row r="56" spans="1:24" s="52" customFormat="1" x14ac:dyDescent="0.3">
      <c r="A56" s="225">
        <v>26</v>
      </c>
      <c r="B56" s="229">
        <v>53</v>
      </c>
      <c r="C56" s="196">
        <v>43882</v>
      </c>
      <c r="D56" s="244">
        <v>76288</v>
      </c>
      <c r="E56" s="231">
        <f t="shared" si="5"/>
        <v>823</v>
      </c>
      <c r="F56" s="504"/>
      <c r="G56" s="195">
        <f t="shared" si="7"/>
        <v>506.6</v>
      </c>
      <c r="H56" s="497"/>
      <c r="I56" s="497"/>
      <c r="J56" s="497"/>
      <c r="K56" s="507"/>
      <c r="L56" s="497"/>
      <c r="M56" s="172"/>
      <c r="N56" s="172"/>
      <c r="O56" s="172"/>
      <c r="P56" s="172"/>
      <c r="Q56" s="258"/>
      <c r="R56" s="258"/>
      <c r="S56" s="31"/>
      <c r="T56" s="31"/>
      <c r="U56" s="31"/>
      <c r="V56" s="2"/>
      <c r="W56" s="2"/>
      <c r="X56" s="2"/>
    </row>
    <row r="57" spans="1:24" s="52" customFormat="1" x14ac:dyDescent="0.3">
      <c r="A57" s="225">
        <v>27</v>
      </c>
      <c r="B57" s="229">
        <v>54</v>
      </c>
      <c r="C57" s="196">
        <v>43883</v>
      </c>
      <c r="D57" s="244">
        <v>76936</v>
      </c>
      <c r="E57" s="231">
        <f t="shared" si="5"/>
        <v>648</v>
      </c>
      <c r="F57" s="504"/>
      <c r="G57" s="195">
        <f t="shared" si="7"/>
        <v>506.6</v>
      </c>
      <c r="H57" s="497"/>
      <c r="I57" s="497"/>
      <c r="J57" s="497"/>
      <c r="K57" s="507"/>
      <c r="L57" s="497"/>
      <c r="M57" s="172"/>
      <c r="N57" s="172"/>
      <c r="O57" s="172"/>
      <c r="P57" s="172"/>
      <c r="Q57" s="258"/>
      <c r="R57" s="258"/>
      <c r="S57" s="31"/>
      <c r="T57" s="31"/>
      <c r="U57" s="31"/>
      <c r="V57" s="2"/>
      <c r="W57" s="2"/>
      <c r="X57" s="2"/>
    </row>
    <row r="58" spans="1:24" s="52" customFormat="1" x14ac:dyDescent="0.3">
      <c r="A58" s="225">
        <v>28</v>
      </c>
      <c r="B58" s="229">
        <v>55</v>
      </c>
      <c r="C58" s="196">
        <v>43884</v>
      </c>
      <c r="D58" s="244">
        <v>77150</v>
      </c>
      <c r="E58" s="231">
        <f t="shared" si="5"/>
        <v>214</v>
      </c>
      <c r="F58" s="504"/>
      <c r="G58" s="195">
        <f t="shared" si="7"/>
        <v>506.6</v>
      </c>
      <c r="H58" s="497"/>
      <c r="I58" s="497"/>
      <c r="J58" s="497"/>
      <c r="K58" s="507"/>
      <c r="L58" s="497"/>
      <c r="M58" s="172"/>
      <c r="N58" s="172"/>
      <c r="O58" s="172"/>
      <c r="P58" s="172"/>
      <c r="Q58" s="258"/>
      <c r="R58" s="258"/>
      <c r="S58" s="31"/>
      <c r="T58" s="31"/>
      <c r="U58" s="31"/>
      <c r="V58" s="2"/>
      <c r="W58" s="2"/>
      <c r="X58" s="2"/>
    </row>
    <row r="59" spans="1:24" s="52" customFormat="1" x14ac:dyDescent="0.3">
      <c r="A59" s="225">
        <v>29</v>
      </c>
      <c r="B59" s="229">
        <v>56</v>
      </c>
      <c r="C59" s="196">
        <v>43885</v>
      </c>
      <c r="D59" s="244">
        <v>77658</v>
      </c>
      <c r="E59" s="231">
        <f t="shared" si="5"/>
        <v>508</v>
      </c>
      <c r="F59" s="504"/>
      <c r="G59" s="195">
        <f t="shared" si="7"/>
        <v>506.6</v>
      </c>
      <c r="H59" s="497"/>
      <c r="I59" s="497"/>
      <c r="J59" s="497"/>
      <c r="K59" s="507"/>
      <c r="L59" s="497"/>
      <c r="M59" s="172"/>
      <c r="N59" s="172"/>
      <c r="O59" s="172"/>
      <c r="P59" s="172"/>
      <c r="Q59" s="258"/>
      <c r="R59" s="258"/>
      <c r="S59" s="31"/>
      <c r="T59" s="31"/>
      <c r="U59" s="31"/>
      <c r="V59" s="2"/>
      <c r="W59" s="2"/>
      <c r="X59" s="2"/>
    </row>
    <row r="60" spans="1:24" s="52" customFormat="1" x14ac:dyDescent="0.3">
      <c r="A60" s="225">
        <v>30</v>
      </c>
      <c r="B60" s="229">
        <v>57</v>
      </c>
      <c r="C60" s="196">
        <v>43886</v>
      </c>
      <c r="D60" s="244">
        <v>78064</v>
      </c>
      <c r="E60" s="231">
        <f t="shared" si="5"/>
        <v>406</v>
      </c>
      <c r="F60" s="504"/>
      <c r="G60" s="195">
        <f t="shared" si="7"/>
        <v>506.6</v>
      </c>
      <c r="H60" s="497"/>
      <c r="I60" s="497"/>
      <c r="J60" s="497"/>
      <c r="K60" s="507"/>
      <c r="L60" s="497"/>
      <c r="M60" s="172"/>
      <c r="N60" s="172"/>
      <c r="O60" s="172"/>
      <c r="P60" s="172"/>
      <c r="Q60" s="258"/>
      <c r="R60" s="258"/>
      <c r="S60" s="31"/>
      <c r="T60" s="31"/>
      <c r="U60" s="31"/>
      <c r="V60" s="2"/>
      <c r="W60" s="2"/>
      <c r="X60" s="2"/>
    </row>
    <row r="61" spans="1:24" s="52" customFormat="1" x14ac:dyDescent="0.3">
      <c r="A61" s="225">
        <v>31</v>
      </c>
      <c r="B61" s="229">
        <v>58</v>
      </c>
      <c r="C61" s="196">
        <v>43887</v>
      </c>
      <c r="D61" s="244">
        <v>78497</v>
      </c>
      <c r="E61" s="231">
        <f t="shared" si="5"/>
        <v>433</v>
      </c>
      <c r="F61" s="504"/>
      <c r="G61" s="195">
        <f t="shared" si="7"/>
        <v>506.6</v>
      </c>
      <c r="H61" s="497"/>
      <c r="I61" s="497"/>
      <c r="J61" s="497"/>
      <c r="K61" s="507"/>
      <c r="L61" s="497"/>
      <c r="M61" s="172"/>
      <c r="N61" s="172"/>
      <c r="O61" s="172"/>
      <c r="P61" s="172"/>
      <c r="Q61" s="258"/>
      <c r="R61" s="258"/>
      <c r="S61" s="31"/>
      <c r="T61" s="31"/>
      <c r="U61" s="31"/>
      <c r="V61" s="2"/>
      <c r="W61" s="2"/>
      <c r="X61" s="2"/>
    </row>
    <row r="62" spans="1:24" s="52" customFormat="1" x14ac:dyDescent="0.3">
      <c r="A62" s="225">
        <v>32</v>
      </c>
      <c r="B62" s="229">
        <v>59</v>
      </c>
      <c r="C62" s="196">
        <v>43888</v>
      </c>
      <c r="D62" s="244">
        <v>78824</v>
      </c>
      <c r="E62" s="231">
        <f t="shared" si="5"/>
        <v>327</v>
      </c>
      <c r="F62" s="504"/>
      <c r="G62" s="195">
        <f t="shared" si="7"/>
        <v>506.6</v>
      </c>
      <c r="H62" s="497"/>
      <c r="I62" s="497"/>
      <c r="J62" s="497"/>
      <c r="K62" s="507"/>
      <c r="L62" s="497"/>
      <c r="M62" s="172"/>
      <c r="N62" s="172"/>
      <c r="O62" s="172"/>
      <c r="P62" s="172"/>
      <c r="Q62" s="258"/>
      <c r="R62" s="258"/>
      <c r="S62" s="31"/>
      <c r="T62" s="31"/>
      <c r="U62" s="31"/>
      <c r="V62" s="2"/>
      <c r="W62" s="2"/>
      <c r="X62" s="2"/>
    </row>
    <row r="63" spans="1:24" s="52" customFormat="1" ht="19.5" thickBot="1" x14ac:dyDescent="0.35">
      <c r="A63" s="225">
        <v>33</v>
      </c>
      <c r="B63" s="233">
        <v>60</v>
      </c>
      <c r="C63" s="200">
        <v>43889</v>
      </c>
      <c r="D63" s="245">
        <v>79251</v>
      </c>
      <c r="E63" s="235">
        <f t="shared" si="5"/>
        <v>427</v>
      </c>
      <c r="F63" s="505"/>
      <c r="G63" s="195">
        <f t="shared" si="7"/>
        <v>506.6</v>
      </c>
      <c r="H63" s="498"/>
      <c r="I63" s="498"/>
      <c r="J63" s="498"/>
      <c r="K63" s="508"/>
      <c r="L63" s="498"/>
      <c r="M63" s="172"/>
      <c r="N63" s="172"/>
      <c r="O63" s="172"/>
      <c r="P63" s="172"/>
      <c r="Q63" s="258"/>
      <c r="R63" s="258"/>
      <c r="S63" s="31"/>
      <c r="T63" s="31"/>
      <c r="U63" s="31"/>
      <c r="V63" s="2"/>
      <c r="W63" s="2"/>
      <c r="X63" s="2"/>
    </row>
    <row r="64" spans="1:24" s="52" customFormat="1" x14ac:dyDescent="0.3">
      <c r="A64" s="225">
        <v>34</v>
      </c>
      <c r="B64" s="226">
        <v>61</v>
      </c>
      <c r="C64" s="192">
        <v>43890</v>
      </c>
      <c r="D64" s="227">
        <v>79824</v>
      </c>
      <c r="E64" s="228">
        <f t="shared" si="5"/>
        <v>573</v>
      </c>
      <c r="F64" s="503">
        <f>SUM(E64:E73)</f>
        <v>1503</v>
      </c>
      <c r="G64" s="195">
        <f t="shared" ref="G64:G73" si="8">F$64/10</f>
        <v>150.30000000000001</v>
      </c>
      <c r="H64" s="496">
        <f>SUM(G64:G73)</f>
        <v>1502.9999999999998</v>
      </c>
      <c r="I64" s="496">
        <v>20895</v>
      </c>
      <c r="J64" s="496">
        <v>308</v>
      </c>
      <c r="K64" s="506">
        <f>H64/SUM(H54+H44+H34+H24+H14+H4-I24-I34-I44-I54-I14-I4-J54-J44-J34-J24-J14-J4)</f>
        <v>3.5092225075881389E-2</v>
      </c>
      <c r="L64" s="496">
        <f>H64*0.05</f>
        <v>75.149999999999991</v>
      </c>
      <c r="M64" s="172"/>
      <c r="N64" s="172"/>
      <c r="O64" s="172"/>
      <c r="P64" s="172"/>
      <c r="Q64" s="258"/>
      <c r="R64" s="258"/>
      <c r="S64" s="31"/>
      <c r="T64" s="31"/>
      <c r="U64" s="31"/>
      <c r="V64" s="2"/>
      <c r="W64" s="2"/>
      <c r="X64" s="2"/>
    </row>
    <row r="65" spans="1:24" s="52" customFormat="1" x14ac:dyDescent="0.3">
      <c r="A65" s="225">
        <v>35</v>
      </c>
      <c r="B65" s="229">
        <v>62</v>
      </c>
      <c r="C65" s="196">
        <v>43891</v>
      </c>
      <c r="D65" s="244">
        <v>80026</v>
      </c>
      <c r="E65" s="231">
        <f t="shared" si="5"/>
        <v>202</v>
      </c>
      <c r="F65" s="504"/>
      <c r="G65" s="195">
        <f t="shared" si="8"/>
        <v>150.30000000000001</v>
      </c>
      <c r="H65" s="497"/>
      <c r="I65" s="497"/>
      <c r="J65" s="497"/>
      <c r="K65" s="507"/>
      <c r="L65" s="497"/>
      <c r="M65" s="172"/>
      <c r="N65" s="172"/>
      <c r="O65" s="172"/>
      <c r="P65" s="172"/>
      <c r="Q65" s="258"/>
      <c r="R65" s="258"/>
      <c r="S65" s="31"/>
      <c r="T65" s="31"/>
      <c r="U65" s="31"/>
      <c r="V65" s="2"/>
      <c r="W65" s="2"/>
      <c r="X65" s="2"/>
    </row>
    <row r="66" spans="1:24" s="52" customFormat="1" x14ac:dyDescent="0.3">
      <c r="A66" s="225">
        <v>36</v>
      </c>
      <c r="B66" s="229">
        <v>63</v>
      </c>
      <c r="C66" s="196">
        <v>43892</v>
      </c>
      <c r="D66" s="244">
        <v>80151</v>
      </c>
      <c r="E66" s="231">
        <f t="shared" si="5"/>
        <v>125</v>
      </c>
      <c r="F66" s="504"/>
      <c r="G66" s="195">
        <f t="shared" si="8"/>
        <v>150.30000000000001</v>
      </c>
      <c r="H66" s="497"/>
      <c r="I66" s="497"/>
      <c r="J66" s="497"/>
      <c r="K66" s="507"/>
      <c r="L66" s="497"/>
      <c r="M66" s="172"/>
      <c r="N66" s="172"/>
      <c r="O66" s="172"/>
      <c r="P66" s="172"/>
      <c r="Q66" s="258"/>
      <c r="R66" s="258"/>
      <c r="S66" s="31"/>
      <c r="T66" s="31"/>
      <c r="U66" s="31"/>
      <c r="V66" s="2"/>
      <c r="W66" s="2"/>
      <c r="X66" s="2"/>
    </row>
    <row r="67" spans="1:24" s="52" customFormat="1" x14ac:dyDescent="0.3">
      <c r="A67" s="225">
        <v>37</v>
      </c>
      <c r="B67" s="229">
        <v>64</v>
      </c>
      <c r="C67" s="196">
        <v>43893</v>
      </c>
      <c r="D67" s="244">
        <v>80270</v>
      </c>
      <c r="E67" s="231">
        <f t="shared" si="5"/>
        <v>119</v>
      </c>
      <c r="F67" s="504"/>
      <c r="G67" s="195">
        <f t="shared" si="8"/>
        <v>150.30000000000001</v>
      </c>
      <c r="H67" s="497"/>
      <c r="I67" s="497"/>
      <c r="J67" s="497"/>
      <c r="K67" s="507"/>
      <c r="L67" s="497"/>
      <c r="M67" s="172"/>
      <c r="N67" s="172"/>
      <c r="O67" s="172"/>
      <c r="P67" s="172"/>
      <c r="Q67" s="258"/>
      <c r="R67" s="258"/>
      <c r="S67" s="31"/>
      <c r="T67" s="31"/>
      <c r="U67" s="31"/>
      <c r="V67" s="2"/>
      <c r="W67" s="2"/>
      <c r="X67" s="2"/>
    </row>
    <row r="68" spans="1:24" s="52" customFormat="1" x14ac:dyDescent="0.3">
      <c r="A68" s="225">
        <v>38</v>
      </c>
      <c r="B68" s="229">
        <v>65</v>
      </c>
      <c r="C68" s="196">
        <v>43894</v>
      </c>
      <c r="D68" s="244">
        <v>80409</v>
      </c>
      <c r="E68" s="231">
        <f t="shared" si="5"/>
        <v>139</v>
      </c>
      <c r="F68" s="504"/>
      <c r="G68" s="195">
        <f t="shared" si="8"/>
        <v>150.30000000000001</v>
      </c>
      <c r="H68" s="497"/>
      <c r="I68" s="497"/>
      <c r="J68" s="497"/>
      <c r="K68" s="507"/>
      <c r="L68" s="497"/>
      <c r="M68" s="172"/>
      <c r="N68" s="172"/>
      <c r="O68" s="172"/>
      <c r="P68" s="172"/>
      <c r="Q68" s="258"/>
      <c r="R68" s="258"/>
      <c r="S68" s="31"/>
      <c r="T68" s="31"/>
      <c r="U68" s="31"/>
      <c r="V68" s="2"/>
      <c r="W68" s="2"/>
      <c r="X68" s="2"/>
    </row>
    <row r="69" spans="1:24" s="52" customFormat="1" x14ac:dyDescent="0.3">
      <c r="A69" s="246">
        <v>39</v>
      </c>
      <c r="B69" s="229">
        <v>66</v>
      </c>
      <c r="C69" s="196">
        <v>43895</v>
      </c>
      <c r="D69" s="244">
        <v>80552</v>
      </c>
      <c r="E69" s="231">
        <f t="shared" ref="E69:E99" si="9">D69-D68</f>
        <v>143</v>
      </c>
      <c r="F69" s="504"/>
      <c r="G69" s="195">
        <f t="shared" si="8"/>
        <v>150.30000000000001</v>
      </c>
      <c r="H69" s="497"/>
      <c r="I69" s="497"/>
      <c r="J69" s="497"/>
      <c r="K69" s="507"/>
      <c r="L69" s="497"/>
      <c r="M69" s="172"/>
      <c r="N69" s="172"/>
      <c r="O69" s="172"/>
      <c r="P69" s="172"/>
      <c r="Q69" s="258"/>
      <c r="R69" s="258"/>
      <c r="S69" s="31"/>
      <c r="T69" s="31"/>
      <c r="U69" s="31"/>
      <c r="V69" s="2"/>
      <c r="W69" s="2"/>
      <c r="X69" s="2"/>
    </row>
    <row r="70" spans="1:24" s="52" customFormat="1" x14ac:dyDescent="0.3">
      <c r="A70" s="225">
        <v>40</v>
      </c>
      <c r="B70" s="229">
        <v>67</v>
      </c>
      <c r="C70" s="196">
        <v>43896</v>
      </c>
      <c r="D70" s="244">
        <v>80651</v>
      </c>
      <c r="E70" s="231">
        <f t="shared" si="9"/>
        <v>99</v>
      </c>
      <c r="F70" s="504"/>
      <c r="G70" s="195">
        <f t="shared" si="8"/>
        <v>150.30000000000001</v>
      </c>
      <c r="H70" s="497"/>
      <c r="I70" s="497"/>
      <c r="J70" s="497"/>
      <c r="K70" s="507"/>
      <c r="L70" s="497"/>
      <c r="M70" s="172"/>
      <c r="N70" s="172"/>
      <c r="O70" s="172"/>
      <c r="P70" s="172"/>
      <c r="Q70" s="258"/>
      <c r="R70" s="258"/>
      <c r="S70" s="31"/>
      <c r="T70" s="31"/>
      <c r="U70" s="31"/>
      <c r="V70" s="2"/>
      <c r="W70" s="2"/>
      <c r="X70" s="2"/>
    </row>
    <row r="71" spans="1:24" s="52" customFormat="1" x14ac:dyDescent="0.3">
      <c r="A71" s="225">
        <v>41</v>
      </c>
      <c r="B71" s="229">
        <v>68</v>
      </c>
      <c r="C71" s="196">
        <v>43897</v>
      </c>
      <c r="D71" s="244">
        <v>80695</v>
      </c>
      <c r="E71" s="231">
        <f t="shared" si="9"/>
        <v>44</v>
      </c>
      <c r="F71" s="504"/>
      <c r="G71" s="195">
        <f t="shared" si="8"/>
        <v>150.30000000000001</v>
      </c>
      <c r="H71" s="497"/>
      <c r="I71" s="497"/>
      <c r="J71" s="497"/>
      <c r="K71" s="507"/>
      <c r="L71" s="497"/>
      <c r="M71" s="172"/>
      <c r="N71" s="172"/>
      <c r="O71" s="172"/>
      <c r="P71" s="172"/>
      <c r="Q71" s="258"/>
      <c r="R71" s="258"/>
      <c r="S71" s="31"/>
      <c r="T71" s="31"/>
      <c r="U71" s="31"/>
      <c r="V71" s="2"/>
      <c r="W71" s="2"/>
      <c r="X71" s="2"/>
    </row>
    <row r="72" spans="1:24" s="52" customFormat="1" x14ac:dyDescent="0.3">
      <c r="A72" s="225">
        <v>42</v>
      </c>
      <c r="B72" s="229">
        <v>69</v>
      </c>
      <c r="C72" s="196">
        <v>43898</v>
      </c>
      <c r="D72" s="244">
        <v>80735</v>
      </c>
      <c r="E72" s="231">
        <f t="shared" si="9"/>
        <v>40</v>
      </c>
      <c r="F72" s="504"/>
      <c r="G72" s="195">
        <f t="shared" si="8"/>
        <v>150.30000000000001</v>
      </c>
      <c r="H72" s="497"/>
      <c r="I72" s="497"/>
      <c r="J72" s="497"/>
      <c r="K72" s="507"/>
      <c r="L72" s="497"/>
      <c r="M72" s="172"/>
      <c r="N72" s="172"/>
      <c r="O72" s="172"/>
      <c r="P72" s="172"/>
      <c r="Q72" s="258"/>
      <c r="R72" s="258"/>
      <c r="S72" s="31"/>
      <c r="T72" s="31"/>
      <c r="U72" s="31"/>
      <c r="V72" s="2"/>
      <c r="W72" s="2"/>
      <c r="X72" s="2"/>
    </row>
    <row r="73" spans="1:24" s="52" customFormat="1" ht="19.5" thickBot="1" x14ac:dyDescent="0.35">
      <c r="A73" s="225">
        <v>43</v>
      </c>
      <c r="B73" s="233">
        <v>70</v>
      </c>
      <c r="C73" s="200">
        <v>43899</v>
      </c>
      <c r="D73" s="245">
        <v>80754</v>
      </c>
      <c r="E73" s="235">
        <f t="shared" si="9"/>
        <v>19</v>
      </c>
      <c r="F73" s="505"/>
      <c r="G73" s="195">
        <f t="shared" si="8"/>
        <v>150.30000000000001</v>
      </c>
      <c r="H73" s="498"/>
      <c r="I73" s="498"/>
      <c r="J73" s="498"/>
      <c r="K73" s="508"/>
      <c r="L73" s="498"/>
      <c r="M73" s="172"/>
      <c r="N73" s="172"/>
      <c r="O73" s="172"/>
      <c r="P73" s="172"/>
      <c r="Q73" s="258"/>
      <c r="R73" s="258"/>
      <c r="S73" s="31"/>
      <c r="T73" s="31"/>
      <c r="U73" s="31"/>
      <c r="V73" s="2"/>
      <c r="W73" s="2"/>
      <c r="X73" s="2"/>
    </row>
    <row r="74" spans="1:24" s="52" customFormat="1" x14ac:dyDescent="0.3">
      <c r="A74" s="225">
        <v>44</v>
      </c>
      <c r="B74" s="248">
        <v>71</v>
      </c>
      <c r="C74" s="192">
        <v>43900</v>
      </c>
      <c r="D74" s="227">
        <v>80778</v>
      </c>
      <c r="E74" s="228">
        <f t="shared" si="9"/>
        <v>24</v>
      </c>
      <c r="F74" s="503">
        <f>SUM(E74:E83)</f>
        <v>213</v>
      </c>
      <c r="G74" s="195">
        <f t="shared" ref="G74:G83" si="10">F$74/10</f>
        <v>21.3</v>
      </c>
      <c r="H74" s="496">
        <f>SUM(G74:G83)</f>
        <v>213.00000000000003</v>
      </c>
      <c r="I74" s="496">
        <v>10523</v>
      </c>
      <c r="J74" s="496">
        <v>112</v>
      </c>
      <c r="K74" s="506">
        <f>H74/SUM(H4+H14+H24+H34+H44+H54+H64-I64-I54-I44-I34-I24-I14-I4-J64-J54-J44-J34-J24-J14-J4)</f>
        <v>9.2088197146562925E-3</v>
      </c>
      <c r="L74" s="496">
        <f>H74*0.05</f>
        <v>10.650000000000002</v>
      </c>
      <c r="M74" s="172"/>
      <c r="N74" s="172"/>
      <c r="O74" s="172"/>
      <c r="P74" s="172"/>
      <c r="Q74" s="258"/>
      <c r="R74" s="258"/>
      <c r="S74" s="31"/>
      <c r="T74" s="31"/>
      <c r="U74" s="31"/>
      <c r="V74" s="2"/>
      <c r="W74" s="2"/>
      <c r="X74" s="2"/>
    </row>
    <row r="75" spans="1:24" s="52" customFormat="1" x14ac:dyDescent="0.3">
      <c r="A75" s="225">
        <v>45</v>
      </c>
      <c r="B75" s="229">
        <v>72</v>
      </c>
      <c r="C75" s="196">
        <v>43901</v>
      </c>
      <c r="D75" s="244">
        <v>80793</v>
      </c>
      <c r="E75" s="231">
        <f t="shared" si="9"/>
        <v>15</v>
      </c>
      <c r="F75" s="504"/>
      <c r="G75" s="195">
        <f t="shared" si="10"/>
        <v>21.3</v>
      </c>
      <c r="H75" s="497"/>
      <c r="I75" s="497"/>
      <c r="J75" s="497"/>
      <c r="K75" s="507"/>
      <c r="L75" s="497"/>
      <c r="M75" s="172"/>
      <c r="N75" s="172"/>
      <c r="O75" s="172"/>
      <c r="P75" s="172"/>
      <c r="Q75" s="258"/>
      <c r="R75" s="258"/>
      <c r="S75" s="31"/>
      <c r="T75" s="31"/>
      <c r="U75" s="31"/>
      <c r="V75" s="2"/>
      <c r="W75" s="2"/>
      <c r="X75" s="2"/>
    </row>
    <row r="76" spans="1:24" s="52" customFormat="1" x14ac:dyDescent="0.3">
      <c r="A76" s="225">
        <v>46</v>
      </c>
      <c r="B76" s="229">
        <v>73</v>
      </c>
      <c r="C76" s="196">
        <v>43902</v>
      </c>
      <c r="D76" s="244">
        <v>80813</v>
      </c>
      <c r="E76" s="231">
        <f t="shared" si="9"/>
        <v>20</v>
      </c>
      <c r="F76" s="504"/>
      <c r="G76" s="195">
        <f t="shared" si="10"/>
        <v>21.3</v>
      </c>
      <c r="H76" s="497"/>
      <c r="I76" s="497"/>
      <c r="J76" s="497"/>
      <c r="K76" s="507"/>
      <c r="L76" s="497"/>
      <c r="M76" s="172"/>
      <c r="N76" s="172"/>
      <c r="O76" s="172"/>
      <c r="P76" s="172"/>
      <c r="Q76" s="258"/>
      <c r="R76" s="258"/>
      <c r="S76" s="31"/>
      <c r="T76" s="31"/>
      <c r="U76" s="31"/>
      <c r="V76" s="2"/>
      <c r="W76" s="2"/>
      <c r="X76" s="2"/>
    </row>
    <row r="77" spans="1:24" s="52" customFormat="1" x14ac:dyDescent="0.3">
      <c r="A77" s="225">
        <v>47</v>
      </c>
      <c r="B77" s="229">
        <v>74</v>
      </c>
      <c r="C77" s="196">
        <v>43903</v>
      </c>
      <c r="D77" s="244">
        <v>80824</v>
      </c>
      <c r="E77" s="231">
        <f t="shared" si="9"/>
        <v>11</v>
      </c>
      <c r="F77" s="504"/>
      <c r="G77" s="195">
        <f t="shared" si="10"/>
        <v>21.3</v>
      </c>
      <c r="H77" s="497"/>
      <c r="I77" s="497"/>
      <c r="J77" s="497"/>
      <c r="K77" s="507"/>
      <c r="L77" s="497"/>
      <c r="M77" s="172"/>
      <c r="N77" s="172"/>
      <c r="O77" s="172"/>
      <c r="P77" s="172"/>
      <c r="Q77" s="258"/>
      <c r="R77" s="258"/>
      <c r="S77" s="31"/>
      <c r="T77" s="31"/>
      <c r="U77" s="31"/>
      <c r="V77" s="2"/>
      <c r="W77" s="2"/>
      <c r="X77" s="2"/>
    </row>
    <row r="78" spans="1:24" s="52" customFormat="1" x14ac:dyDescent="0.3">
      <c r="A78" s="225">
        <v>48</v>
      </c>
      <c r="B78" s="229">
        <v>75</v>
      </c>
      <c r="C78" s="196">
        <v>43904</v>
      </c>
      <c r="D78" s="244">
        <v>80844</v>
      </c>
      <c r="E78" s="231">
        <f t="shared" si="9"/>
        <v>20</v>
      </c>
      <c r="F78" s="504"/>
      <c r="G78" s="195">
        <f t="shared" si="10"/>
        <v>21.3</v>
      </c>
      <c r="H78" s="497"/>
      <c r="I78" s="497"/>
      <c r="J78" s="497"/>
      <c r="K78" s="507"/>
      <c r="L78" s="497"/>
      <c r="M78" s="172"/>
      <c r="N78" s="172"/>
      <c r="O78" s="172"/>
      <c r="P78" s="172"/>
      <c r="Q78" s="258"/>
      <c r="R78" s="258"/>
      <c r="S78" s="31"/>
      <c r="T78" s="31"/>
      <c r="U78" s="31"/>
      <c r="V78" s="2"/>
      <c r="W78" s="2"/>
      <c r="X78" s="2"/>
    </row>
    <row r="79" spans="1:24" s="52" customFormat="1" x14ac:dyDescent="0.3">
      <c r="A79" s="225">
        <v>49</v>
      </c>
      <c r="B79" s="229">
        <v>76</v>
      </c>
      <c r="C79" s="196">
        <v>43905</v>
      </c>
      <c r="D79" s="244">
        <v>80860</v>
      </c>
      <c r="E79" s="231">
        <f t="shared" si="9"/>
        <v>16</v>
      </c>
      <c r="F79" s="504"/>
      <c r="G79" s="195">
        <f t="shared" si="10"/>
        <v>21.3</v>
      </c>
      <c r="H79" s="497"/>
      <c r="I79" s="497"/>
      <c r="J79" s="497"/>
      <c r="K79" s="507"/>
      <c r="L79" s="497"/>
      <c r="M79" s="172"/>
      <c r="N79" s="172"/>
      <c r="O79" s="172"/>
      <c r="P79" s="172"/>
      <c r="Q79" s="258"/>
      <c r="R79" s="258"/>
      <c r="S79" s="31"/>
      <c r="T79" s="31"/>
      <c r="U79" s="31"/>
      <c r="V79" s="2"/>
      <c r="W79" s="2"/>
      <c r="X79" s="2"/>
    </row>
    <row r="80" spans="1:24" s="52" customFormat="1" x14ac:dyDescent="0.3">
      <c r="A80" s="225">
        <v>50</v>
      </c>
      <c r="B80" s="229">
        <v>77</v>
      </c>
      <c r="C80" s="196">
        <v>43906</v>
      </c>
      <c r="D80" s="244">
        <v>80881</v>
      </c>
      <c r="E80" s="231">
        <f t="shared" si="9"/>
        <v>21</v>
      </c>
      <c r="F80" s="504"/>
      <c r="G80" s="195">
        <f t="shared" si="10"/>
        <v>21.3</v>
      </c>
      <c r="H80" s="497"/>
      <c r="I80" s="497"/>
      <c r="J80" s="497"/>
      <c r="K80" s="507"/>
      <c r="L80" s="497"/>
      <c r="M80" s="172"/>
      <c r="N80" s="172"/>
      <c r="O80" s="172"/>
      <c r="P80" s="172"/>
      <c r="Q80" s="258"/>
      <c r="R80" s="258"/>
      <c r="S80" s="31"/>
      <c r="T80" s="31"/>
      <c r="U80" s="31"/>
      <c r="V80" s="2"/>
      <c r="W80" s="2"/>
      <c r="X80" s="2"/>
    </row>
    <row r="81" spans="1:24" s="52" customFormat="1" x14ac:dyDescent="0.3">
      <c r="A81" s="225">
        <v>51</v>
      </c>
      <c r="B81" s="229">
        <v>78</v>
      </c>
      <c r="C81" s="196">
        <v>43907</v>
      </c>
      <c r="D81" s="244">
        <v>80894</v>
      </c>
      <c r="E81" s="231">
        <f t="shared" si="9"/>
        <v>13</v>
      </c>
      <c r="F81" s="504"/>
      <c r="G81" s="195">
        <f t="shared" si="10"/>
        <v>21.3</v>
      </c>
      <c r="H81" s="497"/>
      <c r="I81" s="497"/>
      <c r="J81" s="497"/>
      <c r="K81" s="507"/>
      <c r="L81" s="497"/>
      <c r="M81" s="172"/>
      <c r="N81" s="172"/>
      <c r="O81" s="172"/>
      <c r="P81" s="172"/>
      <c r="Q81" s="258"/>
      <c r="R81" s="258"/>
      <c r="S81" s="31"/>
      <c r="T81" s="31"/>
      <c r="U81" s="31"/>
      <c r="V81" s="2"/>
      <c r="W81" s="2"/>
      <c r="X81" s="2"/>
    </row>
    <row r="82" spans="1:24" s="52" customFormat="1" x14ac:dyDescent="0.3">
      <c r="A82" s="225">
        <v>52</v>
      </c>
      <c r="B82" s="229">
        <v>79</v>
      </c>
      <c r="C82" s="196">
        <v>43908</v>
      </c>
      <c r="D82" s="244">
        <v>80928</v>
      </c>
      <c r="E82" s="231">
        <f t="shared" si="9"/>
        <v>34</v>
      </c>
      <c r="F82" s="504"/>
      <c r="G82" s="195">
        <f t="shared" si="10"/>
        <v>21.3</v>
      </c>
      <c r="H82" s="497"/>
      <c r="I82" s="497"/>
      <c r="J82" s="497"/>
      <c r="K82" s="507"/>
      <c r="L82" s="497"/>
      <c r="M82" s="172"/>
      <c r="N82" s="172"/>
      <c r="O82" s="172"/>
      <c r="P82" s="172"/>
      <c r="Q82" s="258"/>
      <c r="R82" s="258"/>
      <c r="S82" s="31"/>
      <c r="T82" s="31"/>
      <c r="U82" s="31"/>
      <c r="V82" s="2"/>
      <c r="W82" s="2"/>
      <c r="X82" s="2"/>
    </row>
    <row r="83" spans="1:24" s="52" customFormat="1" ht="19.5" thickBot="1" x14ac:dyDescent="0.35">
      <c r="A83" s="225">
        <v>53</v>
      </c>
      <c r="B83" s="249">
        <v>80</v>
      </c>
      <c r="C83" s="203">
        <v>43909</v>
      </c>
      <c r="D83" s="250">
        <v>80967</v>
      </c>
      <c r="E83" s="251">
        <f t="shared" si="9"/>
        <v>39</v>
      </c>
      <c r="F83" s="505"/>
      <c r="G83" s="195">
        <f t="shared" si="10"/>
        <v>21.3</v>
      </c>
      <c r="H83" s="498"/>
      <c r="I83" s="498"/>
      <c r="J83" s="498"/>
      <c r="K83" s="508"/>
      <c r="L83" s="498"/>
      <c r="M83" s="172"/>
      <c r="N83" s="172"/>
      <c r="O83" s="172"/>
      <c r="P83" s="172"/>
      <c r="Q83" s="258"/>
      <c r="R83" s="258"/>
      <c r="S83" s="31"/>
      <c r="T83" s="31"/>
      <c r="U83" s="31"/>
      <c r="V83" s="2"/>
      <c r="W83" s="2"/>
      <c r="X83" s="2"/>
    </row>
    <row r="84" spans="1:24" s="52" customFormat="1" x14ac:dyDescent="0.3">
      <c r="A84" s="225">
        <v>54</v>
      </c>
      <c r="B84" s="226">
        <v>81</v>
      </c>
      <c r="C84" s="192">
        <v>43910</v>
      </c>
      <c r="D84" s="227">
        <v>81008</v>
      </c>
      <c r="E84" s="228">
        <f t="shared" si="9"/>
        <v>41</v>
      </c>
      <c r="F84" s="503">
        <f>SUM(E84:E93)</f>
        <v>472</v>
      </c>
      <c r="G84" s="195">
        <f t="shared" ref="G84:G93" si="11">F$84/9</f>
        <v>52.444444444444443</v>
      </c>
      <c r="H84" s="496">
        <f>SUM(G84:G93)</f>
        <v>524.44444444444446</v>
      </c>
      <c r="I84" s="496">
        <v>3821</v>
      </c>
      <c r="J84" s="496">
        <v>45</v>
      </c>
      <c r="K84" s="506">
        <f>H84/SUM(H74+H64+H54+H44+H34+H24+H14+H4-I24-I34-I44-I54-I64-I74-I14-I4)</f>
        <v>3.288877740150787E-2</v>
      </c>
      <c r="L84" s="496">
        <f>H84*0.05</f>
        <v>26.222222222222225</v>
      </c>
      <c r="M84" s="172"/>
      <c r="N84" s="172"/>
      <c r="O84" s="172"/>
      <c r="P84" s="172"/>
      <c r="Q84" s="258"/>
      <c r="R84" s="258"/>
      <c r="S84" s="31"/>
      <c r="T84" s="31"/>
      <c r="U84" s="31"/>
      <c r="V84" s="2"/>
      <c r="W84" s="2"/>
      <c r="X84" s="2"/>
    </row>
    <row r="85" spans="1:24" s="52" customFormat="1" x14ac:dyDescent="0.3">
      <c r="A85" s="225">
        <v>55</v>
      </c>
      <c r="B85" s="229">
        <v>82</v>
      </c>
      <c r="C85" s="196">
        <v>43911</v>
      </c>
      <c r="D85" s="244">
        <v>81054</v>
      </c>
      <c r="E85" s="231">
        <f t="shared" si="9"/>
        <v>46</v>
      </c>
      <c r="F85" s="504"/>
      <c r="G85" s="195">
        <f t="shared" si="11"/>
        <v>52.444444444444443</v>
      </c>
      <c r="H85" s="497"/>
      <c r="I85" s="497"/>
      <c r="J85" s="497"/>
      <c r="K85" s="507"/>
      <c r="L85" s="497"/>
      <c r="M85" s="172"/>
      <c r="N85" s="172"/>
      <c r="O85" s="172"/>
      <c r="P85" s="172"/>
      <c r="Q85" s="258"/>
      <c r="R85" s="258"/>
      <c r="S85" s="31"/>
      <c r="T85" s="31"/>
      <c r="U85" s="31"/>
      <c r="V85" s="2"/>
      <c r="W85" s="2"/>
      <c r="X85" s="2"/>
    </row>
    <row r="86" spans="1:24" s="52" customFormat="1" x14ac:dyDescent="0.3">
      <c r="A86" s="225">
        <v>56</v>
      </c>
      <c r="B86" s="229">
        <v>83</v>
      </c>
      <c r="C86" s="196">
        <v>43912</v>
      </c>
      <c r="D86" s="244">
        <v>81093</v>
      </c>
      <c r="E86" s="231">
        <f t="shared" si="9"/>
        <v>39</v>
      </c>
      <c r="F86" s="504"/>
      <c r="G86" s="195">
        <f t="shared" si="11"/>
        <v>52.444444444444443</v>
      </c>
      <c r="H86" s="497"/>
      <c r="I86" s="497"/>
      <c r="J86" s="497"/>
      <c r="K86" s="507"/>
      <c r="L86" s="497"/>
      <c r="M86" s="172"/>
      <c r="N86" s="172"/>
      <c r="O86" s="172"/>
      <c r="P86" s="172"/>
      <c r="Q86" s="258"/>
      <c r="R86" s="258"/>
      <c r="S86" s="31"/>
      <c r="T86" s="31"/>
      <c r="U86" s="31"/>
      <c r="V86" s="2"/>
      <c r="W86" s="2"/>
      <c r="X86" s="2"/>
    </row>
    <row r="87" spans="1:24" s="52" customFormat="1" x14ac:dyDescent="0.3">
      <c r="A87" s="225">
        <v>57</v>
      </c>
      <c r="B87" s="229">
        <v>84</v>
      </c>
      <c r="C87" s="196">
        <v>43913</v>
      </c>
      <c r="D87" s="244">
        <v>81171</v>
      </c>
      <c r="E87" s="231">
        <f t="shared" si="9"/>
        <v>78</v>
      </c>
      <c r="F87" s="504"/>
      <c r="G87" s="195">
        <f t="shared" si="11"/>
        <v>52.444444444444443</v>
      </c>
      <c r="H87" s="497"/>
      <c r="I87" s="497"/>
      <c r="J87" s="497"/>
      <c r="K87" s="507"/>
      <c r="L87" s="497"/>
      <c r="M87" s="172"/>
      <c r="N87" s="172"/>
      <c r="O87" s="172"/>
      <c r="P87" s="172"/>
      <c r="Q87" s="258"/>
      <c r="R87" s="258"/>
      <c r="S87" s="31"/>
      <c r="T87" s="31"/>
      <c r="U87" s="31"/>
      <c r="V87" s="2"/>
      <c r="W87" s="2"/>
      <c r="X87" s="2"/>
    </row>
    <row r="88" spans="1:24" s="52" customFormat="1" ht="23.25" customHeight="1" x14ac:dyDescent="0.3">
      <c r="A88" s="225">
        <v>58</v>
      </c>
      <c r="B88" s="229">
        <v>85</v>
      </c>
      <c r="C88" s="196">
        <v>43914</v>
      </c>
      <c r="D88" s="244">
        <v>81218</v>
      </c>
      <c r="E88" s="231">
        <f t="shared" si="9"/>
        <v>47</v>
      </c>
      <c r="F88" s="504"/>
      <c r="G88" s="195">
        <f t="shared" si="11"/>
        <v>52.444444444444443</v>
      </c>
      <c r="H88" s="497"/>
      <c r="I88" s="497"/>
      <c r="J88" s="497"/>
      <c r="K88" s="507"/>
      <c r="L88" s="497"/>
      <c r="M88" s="172"/>
      <c r="N88" s="172"/>
      <c r="O88" s="172"/>
      <c r="P88" s="172"/>
      <c r="Q88" s="258"/>
      <c r="R88" s="258"/>
      <c r="S88" s="31"/>
      <c r="T88" s="31"/>
      <c r="U88" s="31"/>
      <c r="V88" s="2"/>
      <c r="W88" s="2"/>
      <c r="X88" s="2"/>
    </row>
    <row r="89" spans="1:24" s="52" customFormat="1" x14ac:dyDescent="0.3">
      <c r="A89" s="225">
        <v>59</v>
      </c>
      <c r="B89" s="229">
        <v>86</v>
      </c>
      <c r="C89" s="196">
        <v>43915</v>
      </c>
      <c r="D89" s="244">
        <v>81285</v>
      </c>
      <c r="E89" s="231">
        <f t="shared" si="9"/>
        <v>67</v>
      </c>
      <c r="F89" s="504"/>
      <c r="G89" s="195">
        <f t="shared" si="11"/>
        <v>52.444444444444443</v>
      </c>
      <c r="H89" s="497"/>
      <c r="I89" s="497"/>
      <c r="J89" s="497"/>
      <c r="K89" s="507"/>
      <c r="L89" s="497"/>
      <c r="M89" s="172"/>
      <c r="N89" s="172"/>
      <c r="O89" s="172"/>
      <c r="P89" s="172"/>
      <c r="Q89" s="258"/>
      <c r="R89" s="258"/>
      <c r="S89" s="31"/>
      <c r="T89" s="31"/>
      <c r="U89" s="31"/>
      <c r="V89" s="2"/>
      <c r="W89" s="2"/>
      <c r="X89" s="2"/>
    </row>
    <row r="90" spans="1:24" s="52" customFormat="1" x14ac:dyDescent="0.3">
      <c r="A90" s="225">
        <v>60</v>
      </c>
      <c r="B90" s="229">
        <v>87</v>
      </c>
      <c r="C90" s="196">
        <v>43916</v>
      </c>
      <c r="D90" s="244">
        <v>81340</v>
      </c>
      <c r="E90" s="231">
        <f t="shared" si="9"/>
        <v>55</v>
      </c>
      <c r="F90" s="504"/>
      <c r="G90" s="195">
        <f t="shared" si="11"/>
        <v>52.444444444444443</v>
      </c>
      <c r="H90" s="497"/>
      <c r="I90" s="497"/>
      <c r="J90" s="497"/>
      <c r="K90" s="507"/>
      <c r="L90" s="497"/>
      <c r="M90" s="172"/>
      <c r="N90" s="172"/>
      <c r="O90" s="172"/>
      <c r="P90" s="172"/>
      <c r="Q90" s="258"/>
      <c r="R90" s="258"/>
      <c r="S90" s="31"/>
      <c r="T90" s="31"/>
      <c r="U90" s="31"/>
      <c r="V90" s="2"/>
      <c r="W90" s="2"/>
      <c r="X90" s="2"/>
    </row>
    <row r="91" spans="1:24" s="52" customFormat="1" x14ac:dyDescent="0.3">
      <c r="A91" s="225">
        <v>61</v>
      </c>
      <c r="B91" s="229">
        <v>88</v>
      </c>
      <c r="C91" s="196">
        <v>43917</v>
      </c>
      <c r="D91" s="244">
        <v>81394</v>
      </c>
      <c r="E91" s="231">
        <f t="shared" si="9"/>
        <v>54</v>
      </c>
      <c r="F91" s="504"/>
      <c r="G91" s="195">
        <f t="shared" si="11"/>
        <v>52.444444444444443</v>
      </c>
      <c r="H91" s="497"/>
      <c r="I91" s="497"/>
      <c r="J91" s="497"/>
      <c r="K91" s="507"/>
      <c r="L91" s="497"/>
      <c r="M91" s="172"/>
      <c r="N91" s="172"/>
      <c r="O91" s="172"/>
      <c r="P91" s="172"/>
      <c r="Q91" s="258"/>
      <c r="R91" s="258"/>
      <c r="S91" s="31"/>
      <c r="T91" s="31"/>
      <c r="U91" s="31"/>
      <c r="V91" s="2"/>
      <c r="W91" s="2"/>
      <c r="X91" s="2"/>
    </row>
    <row r="92" spans="1:24" s="52" customFormat="1" x14ac:dyDescent="0.3">
      <c r="A92" s="225">
        <v>62</v>
      </c>
      <c r="B92" s="229">
        <v>89</v>
      </c>
      <c r="C92" s="219">
        <v>43918</v>
      </c>
      <c r="D92" s="252">
        <v>81439</v>
      </c>
      <c r="E92" s="231">
        <f t="shared" si="9"/>
        <v>45</v>
      </c>
      <c r="F92" s="504"/>
      <c r="G92" s="195">
        <f t="shared" si="11"/>
        <v>52.444444444444443</v>
      </c>
      <c r="H92" s="497"/>
      <c r="I92" s="497"/>
      <c r="J92" s="497"/>
      <c r="K92" s="507"/>
      <c r="L92" s="497"/>
      <c r="M92" s="172"/>
      <c r="N92" s="172"/>
      <c r="O92" s="172"/>
      <c r="P92" s="172"/>
      <c r="Q92" s="258"/>
      <c r="R92" s="258"/>
      <c r="S92" s="31"/>
      <c r="T92" s="31"/>
      <c r="U92" s="31"/>
      <c r="V92" s="2"/>
      <c r="W92" s="2"/>
      <c r="X92" s="2"/>
    </row>
    <row r="93" spans="1:24" s="52" customFormat="1" ht="19.5" thickBot="1" x14ac:dyDescent="0.35">
      <c r="A93" s="225">
        <v>63</v>
      </c>
      <c r="B93" s="233">
        <v>90</v>
      </c>
      <c r="C93" s="220">
        <v>43919</v>
      </c>
      <c r="D93" s="253">
        <v>81439</v>
      </c>
      <c r="E93" s="235">
        <f t="shared" si="9"/>
        <v>0</v>
      </c>
      <c r="F93" s="505"/>
      <c r="G93" s="195">
        <f t="shared" si="11"/>
        <v>52.444444444444443</v>
      </c>
      <c r="H93" s="498"/>
      <c r="I93" s="498"/>
      <c r="J93" s="498"/>
      <c r="K93" s="508"/>
      <c r="L93" s="498"/>
      <c r="M93" s="172"/>
      <c r="N93" s="172"/>
      <c r="O93" s="172"/>
      <c r="P93" s="172"/>
      <c r="Q93" s="258"/>
      <c r="R93" s="258"/>
      <c r="S93" s="31"/>
      <c r="T93" s="31"/>
      <c r="U93" s="31"/>
      <c r="V93" s="2"/>
      <c r="W93" s="2"/>
      <c r="X93" s="2"/>
    </row>
    <row r="94" spans="1:24" s="52" customFormat="1" x14ac:dyDescent="0.3">
      <c r="A94" s="225">
        <v>64</v>
      </c>
      <c r="B94" s="254">
        <v>91</v>
      </c>
      <c r="C94" s="196">
        <v>43920</v>
      </c>
      <c r="D94" s="230">
        <v>81518</v>
      </c>
      <c r="E94" s="255">
        <f t="shared" si="9"/>
        <v>79</v>
      </c>
      <c r="F94" s="503">
        <f>SUM(E94:E99)</f>
        <v>230</v>
      </c>
      <c r="G94" s="195">
        <f t="shared" ref="G94:G99" si="12">H$93/10</f>
        <v>0</v>
      </c>
      <c r="H94" s="516">
        <f>F94</f>
        <v>230</v>
      </c>
      <c r="I94" s="516">
        <v>1922</v>
      </c>
      <c r="J94" s="516">
        <v>35</v>
      </c>
      <c r="K94" s="519">
        <f>H94/SUM(H84+H74+H64+H54+H44+H34+H24+H14+H4-I4-I14-I24-I34-I44-I54-I64-I74-I84-J84-J74-J64-J54-J44-J34-J24-J14-J4)</f>
        <v>2.4555742722247243E-2</v>
      </c>
      <c r="L94" s="516">
        <f>H94*0.05</f>
        <v>11.5</v>
      </c>
      <c r="M94" s="172"/>
      <c r="N94" s="172"/>
      <c r="O94" s="172"/>
      <c r="P94" s="172"/>
      <c r="Q94" s="258"/>
      <c r="R94" s="258"/>
      <c r="S94" s="31"/>
      <c r="T94" s="31"/>
      <c r="U94" s="31"/>
      <c r="V94" s="2"/>
      <c r="W94" s="2"/>
      <c r="X94" s="2"/>
    </row>
    <row r="95" spans="1:24" s="52" customFormat="1" x14ac:dyDescent="0.3">
      <c r="A95" s="225">
        <v>65</v>
      </c>
      <c r="B95" s="256">
        <v>92</v>
      </c>
      <c r="C95" s="196">
        <v>43921</v>
      </c>
      <c r="D95" s="244">
        <v>81554</v>
      </c>
      <c r="E95" s="231">
        <f t="shared" si="9"/>
        <v>36</v>
      </c>
      <c r="F95" s="504"/>
      <c r="G95" s="195">
        <f t="shared" si="12"/>
        <v>0</v>
      </c>
      <c r="H95" s="517"/>
      <c r="I95" s="517"/>
      <c r="J95" s="517"/>
      <c r="K95" s="520"/>
      <c r="L95" s="517"/>
      <c r="M95" s="172"/>
      <c r="N95" s="172"/>
      <c r="O95" s="172"/>
      <c r="P95" s="172"/>
      <c r="Q95" s="258"/>
      <c r="R95" s="258"/>
      <c r="S95" s="31"/>
      <c r="T95" s="31"/>
      <c r="U95" s="31"/>
      <c r="V95" s="2"/>
      <c r="W95" s="2"/>
      <c r="X95" s="2"/>
    </row>
    <row r="96" spans="1:24" s="52" customFormat="1" x14ac:dyDescent="0.3">
      <c r="A96" s="225">
        <v>66</v>
      </c>
      <c r="B96" s="256">
        <v>93</v>
      </c>
      <c r="C96" s="196">
        <v>43922</v>
      </c>
      <c r="D96" s="244">
        <v>81589</v>
      </c>
      <c r="E96" s="231">
        <f t="shared" si="9"/>
        <v>35</v>
      </c>
      <c r="F96" s="504"/>
      <c r="G96" s="195">
        <f t="shared" si="12"/>
        <v>0</v>
      </c>
      <c r="H96" s="517"/>
      <c r="I96" s="517"/>
      <c r="J96" s="517"/>
      <c r="K96" s="520"/>
      <c r="L96" s="517"/>
      <c r="M96" s="172"/>
      <c r="N96" s="172"/>
      <c r="O96" s="172"/>
      <c r="P96" s="172"/>
      <c r="Q96" s="258"/>
      <c r="R96" s="258"/>
      <c r="S96" s="31"/>
      <c r="T96" s="31"/>
      <c r="U96" s="31"/>
      <c r="V96" s="2"/>
      <c r="W96" s="2"/>
      <c r="X96" s="2"/>
    </row>
    <row r="97" spans="1:24" s="52" customFormat="1" x14ac:dyDescent="0.3">
      <c r="A97" s="225">
        <v>67</v>
      </c>
      <c r="B97" s="256">
        <v>94</v>
      </c>
      <c r="C97" s="196">
        <v>43923</v>
      </c>
      <c r="D97" s="244">
        <v>81620</v>
      </c>
      <c r="E97" s="231">
        <f t="shared" si="9"/>
        <v>31</v>
      </c>
      <c r="F97" s="504"/>
      <c r="G97" s="195">
        <f t="shared" si="12"/>
        <v>0</v>
      </c>
      <c r="H97" s="517"/>
      <c r="I97" s="517"/>
      <c r="J97" s="517"/>
      <c r="K97" s="520"/>
      <c r="L97" s="517"/>
      <c r="M97" s="172"/>
      <c r="N97" s="172"/>
      <c r="O97" s="172"/>
      <c r="P97" s="172"/>
      <c r="Q97" s="258"/>
      <c r="R97" s="258"/>
      <c r="S97" s="31"/>
      <c r="T97" s="31"/>
      <c r="U97" s="31"/>
      <c r="V97" s="2"/>
      <c r="W97" s="2"/>
      <c r="X97" s="2"/>
    </row>
    <row r="98" spans="1:24" s="52" customFormat="1" x14ac:dyDescent="0.3">
      <c r="A98" s="225">
        <v>68</v>
      </c>
      <c r="B98" s="256">
        <v>95</v>
      </c>
      <c r="C98" s="196">
        <v>43924</v>
      </c>
      <c r="D98" s="244">
        <v>81639</v>
      </c>
      <c r="E98" s="231">
        <f t="shared" si="9"/>
        <v>19</v>
      </c>
      <c r="F98" s="504"/>
      <c r="G98" s="195">
        <f t="shared" si="12"/>
        <v>0</v>
      </c>
      <c r="H98" s="517"/>
      <c r="I98" s="517"/>
      <c r="J98" s="517"/>
      <c r="K98" s="520"/>
      <c r="L98" s="517"/>
      <c r="M98" s="172"/>
      <c r="N98" s="172"/>
      <c r="O98" s="172"/>
      <c r="P98" s="172"/>
      <c r="Q98" s="258"/>
      <c r="R98" s="258"/>
      <c r="S98" s="31"/>
      <c r="T98" s="31"/>
      <c r="U98" s="31"/>
      <c r="V98" s="2"/>
      <c r="W98" s="2"/>
      <c r="X98" s="2"/>
    </row>
    <row r="99" spans="1:24" s="52" customFormat="1" x14ac:dyDescent="0.3">
      <c r="A99" s="225">
        <v>69</v>
      </c>
      <c r="B99" s="256">
        <v>96</v>
      </c>
      <c r="C99" s="196">
        <v>43925</v>
      </c>
      <c r="D99" s="244">
        <v>81669</v>
      </c>
      <c r="E99" s="231">
        <f t="shared" si="9"/>
        <v>30</v>
      </c>
      <c r="F99" s="505"/>
      <c r="G99" s="195">
        <f t="shared" si="12"/>
        <v>0</v>
      </c>
      <c r="H99" s="518"/>
      <c r="I99" s="518"/>
      <c r="J99" s="518"/>
      <c r="K99" s="521"/>
      <c r="L99" s="518"/>
      <c r="M99" s="172"/>
      <c r="N99" s="172"/>
      <c r="O99" s="172"/>
      <c r="P99" s="172"/>
      <c r="Q99" s="258"/>
      <c r="R99" s="258"/>
      <c r="S99" s="31"/>
      <c r="T99" s="31"/>
      <c r="U99" s="31"/>
      <c r="V99" s="2"/>
      <c r="W99" s="2"/>
      <c r="X99" s="2"/>
    </row>
    <row r="100" spans="1:24" s="52" customFormat="1" x14ac:dyDescent="0.3">
      <c r="A100" s="257"/>
      <c r="B100" s="257"/>
      <c r="C100" s="257"/>
      <c r="D100" s="257"/>
      <c r="E100" s="495" t="s">
        <v>24</v>
      </c>
      <c r="F100" s="495"/>
      <c r="G100" s="222">
        <f>SUM(G4:G99)</f>
        <v>84964.444444444496</v>
      </c>
      <c r="H100" s="257"/>
      <c r="I100" s="222"/>
      <c r="J100" s="222"/>
      <c r="K100" s="223"/>
      <c r="L100" s="224">
        <f>'[1]App.2(ICU-vent. cap)'!E4</f>
        <v>5181.5655936000003</v>
      </c>
      <c r="M100" s="172"/>
      <c r="N100" s="172"/>
      <c r="O100" s="172"/>
      <c r="P100" s="172"/>
      <c r="Q100" s="258"/>
      <c r="R100" s="258"/>
      <c r="S100" s="31"/>
      <c r="T100" s="31"/>
      <c r="U100" s="31"/>
      <c r="V100" s="2"/>
      <c r="W100" s="2"/>
      <c r="X100" s="2"/>
    </row>
  </sheetData>
  <mergeCells count="63">
    <mergeCell ref="L94:L99"/>
    <mergeCell ref="F84:F93"/>
    <mergeCell ref="H84:H93"/>
    <mergeCell ref="I84:I93"/>
    <mergeCell ref="J84:J93"/>
    <mergeCell ref="K84:K93"/>
    <mergeCell ref="L84:L93"/>
    <mergeCell ref="F94:F99"/>
    <mergeCell ref="H94:H99"/>
    <mergeCell ref="I94:I99"/>
    <mergeCell ref="J94:J99"/>
    <mergeCell ref="K94:K99"/>
    <mergeCell ref="L74:L83"/>
    <mergeCell ref="F64:F73"/>
    <mergeCell ref="H64:H73"/>
    <mergeCell ref="I64:I73"/>
    <mergeCell ref="J64:J73"/>
    <mergeCell ref="K64:K73"/>
    <mergeCell ref="L64:L73"/>
    <mergeCell ref="F74:F83"/>
    <mergeCell ref="H74:H83"/>
    <mergeCell ref="I74:I83"/>
    <mergeCell ref="J74:J83"/>
    <mergeCell ref="K74:K83"/>
    <mergeCell ref="L54:L63"/>
    <mergeCell ref="F44:F53"/>
    <mergeCell ref="H44:H53"/>
    <mergeCell ref="I44:I53"/>
    <mergeCell ref="J44:J53"/>
    <mergeCell ref="K44:K53"/>
    <mergeCell ref="L44:L53"/>
    <mergeCell ref="F54:F63"/>
    <mergeCell ref="H54:H63"/>
    <mergeCell ref="I54:I63"/>
    <mergeCell ref="J54:J63"/>
    <mergeCell ref="K54:K63"/>
    <mergeCell ref="L24:L33"/>
    <mergeCell ref="F34:F43"/>
    <mergeCell ref="H34:H43"/>
    <mergeCell ref="I34:I43"/>
    <mergeCell ref="J34:J43"/>
    <mergeCell ref="K34:K43"/>
    <mergeCell ref="F24:F33"/>
    <mergeCell ref="H24:H33"/>
    <mergeCell ref="I24:I33"/>
    <mergeCell ref="J24:J33"/>
    <mergeCell ref="K24:K33"/>
    <mergeCell ref="E100:F100"/>
    <mergeCell ref="L14:L23"/>
    <mergeCell ref="A1:L1"/>
    <mergeCell ref="A2:L2"/>
    <mergeCell ref="F4:F13"/>
    <mergeCell ref="H4:H13"/>
    <mergeCell ref="I4:I13"/>
    <mergeCell ref="J4:J13"/>
    <mergeCell ref="K4:K13"/>
    <mergeCell ref="L4:L13"/>
    <mergeCell ref="F14:F23"/>
    <mergeCell ref="H14:H23"/>
    <mergeCell ref="I14:I23"/>
    <mergeCell ref="J14:J23"/>
    <mergeCell ref="K14:K23"/>
    <mergeCell ref="L34:L43"/>
  </mergeCells>
  <printOptions gridLines="1"/>
  <pageMargins left="0" right="0" top="0" bottom="0" header="0" footer="0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4"/>
  <sheetViews>
    <sheetView topLeftCell="A16" zoomScale="80" zoomScaleNormal="80" workbookViewId="0">
      <selection sqref="A1:L1"/>
    </sheetView>
  </sheetViews>
  <sheetFormatPr defaultColWidth="8.85546875" defaultRowHeight="18.75" x14ac:dyDescent="0.3"/>
  <cols>
    <col min="1" max="1" width="13.140625" style="185" customWidth="1"/>
    <col min="2" max="2" width="4.28515625" style="185" bestFit="1" customWidth="1"/>
    <col min="3" max="3" width="9.140625" style="184" bestFit="1" customWidth="1"/>
    <col min="4" max="4" width="10" style="182" customWidth="1"/>
    <col min="5" max="5" width="9.7109375" style="182" customWidth="1"/>
    <col min="6" max="6" width="11.7109375" style="182" customWidth="1"/>
    <col min="7" max="7" width="18" style="182" bestFit="1" customWidth="1"/>
    <col min="8" max="8" width="14" style="182" customWidth="1"/>
    <col min="9" max="9" width="10.28515625" style="182" bestFit="1" customWidth="1"/>
    <col min="10" max="10" width="9.85546875" style="182" customWidth="1"/>
    <col min="11" max="11" width="21.28515625" style="183" customWidth="1"/>
    <col min="12" max="12" width="12.28515625" style="182" bestFit="1" customWidth="1"/>
    <col min="13" max="13" width="8.85546875" style="52"/>
    <col min="14" max="14" width="13.42578125" style="52" customWidth="1"/>
    <col min="15" max="15" width="27.7109375" style="52" customWidth="1"/>
    <col min="16" max="16" width="21.5703125" style="52" customWidth="1"/>
    <col min="17" max="17" width="9.140625" style="31" customWidth="1"/>
    <col min="18" max="18" width="5.7109375" style="31" customWidth="1"/>
    <col min="19" max="19" width="8.85546875" style="31"/>
    <col min="20" max="20" width="9.140625" style="31" customWidth="1"/>
    <col min="21" max="21" width="8.85546875" style="31"/>
    <col min="22" max="24" width="8.85546875" style="2"/>
    <col min="25" max="16384" width="8.85546875" style="3"/>
  </cols>
  <sheetData>
    <row r="1" spans="1:18" ht="19.5" thickBot="1" x14ac:dyDescent="0.3">
      <c r="A1" s="547" t="s">
        <v>152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9"/>
      <c r="M1" s="172"/>
      <c r="N1" s="172"/>
      <c r="O1" s="172"/>
      <c r="P1" s="172"/>
      <c r="Q1" s="258"/>
      <c r="R1" s="258"/>
    </row>
    <row r="2" spans="1:18" ht="19.5" thickBot="1" x14ac:dyDescent="0.3">
      <c r="A2" s="550" t="s">
        <v>130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2"/>
      <c r="M2" s="172"/>
      <c r="N2" s="172"/>
      <c r="O2" s="172"/>
      <c r="P2" s="172"/>
      <c r="Q2" s="258"/>
      <c r="R2" s="258"/>
    </row>
    <row r="3" spans="1:18" ht="84" customHeight="1" thickBot="1" x14ac:dyDescent="0.3">
      <c r="A3" s="315" t="s">
        <v>139</v>
      </c>
      <c r="B3" s="316" t="s">
        <v>20</v>
      </c>
      <c r="C3" s="317" t="s">
        <v>18</v>
      </c>
      <c r="D3" s="318" t="s">
        <v>40</v>
      </c>
      <c r="E3" s="318" t="s">
        <v>39</v>
      </c>
      <c r="F3" s="318" t="s">
        <v>37</v>
      </c>
      <c r="G3" s="318" t="s">
        <v>38</v>
      </c>
      <c r="H3" s="318" t="s">
        <v>41</v>
      </c>
      <c r="I3" s="319" t="s">
        <v>71</v>
      </c>
      <c r="J3" s="319" t="s">
        <v>43</v>
      </c>
      <c r="K3" s="320" t="s">
        <v>129</v>
      </c>
      <c r="L3" s="318" t="s">
        <v>42</v>
      </c>
      <c r="M3" s="172"/>
      <c r="N3" s="172"/>
      <c r="O3" s="172"/>
      <c r="P3" s="172"/>
      <c r="Q3" s="258"/>
      <c r="R3" s="258"/>
    </row>
    <row r="4" spans="1:18" x14ac:dyDescent="0.25">
      <c r="A4" s="260"/>
      <c r="B4" s="261">
        <v>1</v>
      </c>
      <c r="C4" s="192">
        <v>43876</v>
      </c>
      <c r="D4" s="193">
        <v>3</v>
      </c>
      <c r="E4" s="194">
        <f t="shared" ref="E4:E9" si="0">D4</f>
        <v>3</v>
      </c>
      <c r="F4" s="503">
        <f>SUM(E4:E13)</f>
        <v>244</v>
      </c>
      <c r="G4" s="195">
        <f>F$4/10</f>
        <v>24.4</v>
      </c>
      <c r="H4" s="538">
        <f>SUM(G4:G13)</f>
        <v>244.00000000000003</v>
      </c>
      <c r="I4" s="538">
        <v>1</v>
      </c>
      <c r="J4" s="538">
        <v>7</v>
      </c>
      <c r="K4" s="544" t="s">
        <v>26</v>
      </c>
      <c r="L4" s="538">
        <f>H4*0.12</f>
        <v>29.28</v>
      </c>
      <c r="M4" s="172"/>
      <c r="N4" s="172"/>
      <c r="O4" s="172"/>
      <c r="P4" s="172"/>
      <c r="Q4" s="258"/>
      <c r="R4" s="258"/>
    </row>
    <row r="5" spans="1:18" x14ac:dyDescent="0.25">
      <c r="A5" s="260"/>
      <c r="B5" s="262">
        <v>2</v>
      </c>
      <c r="C5" s="196">
        <v>43877</v>
      </c>
      <c r="D5" s="197">
        <v>3</v>
      </c>
      <c r="E5" s="198">
        <f t="shared" si="0"/>
        <v>3</v>
      </c>
      <c r="F5" s="504"/>
      <c r="G5" s="195">
        <f t="shared" ref="G5:G13" si="1">F$4/10</f>
        <v>24.4</v>
      </c>
      <c r="H5" s="539"/>
      <c r="I5" s="539"/>
      <c r="J5" s="539"/>
      <c r="K5" s="545"/>
      <c r="L5" s="539"/>
      <c r="M5" s="172"/>
      <c r="N5" s="172"/>
      <c r="O5" s="172"/>
      <c r="P5" s="172"/>
      <c r="Q5" s="258"/>
      <c r="R5" s="258"/>
    </row>
    <row r="6" spans="1:18" x14ac:dyDescent="0.25">
      <c r="A6" s="260"/>
      <c r="B6" s="262">
        <v>3</v>
      </c>
      <c r="C6" s="196">
        <v>43878</v>
      </c>
      <c r="D6" s="197">
        <v>3</v>
      </c>
      <c r="E6" s="198">
        <f t="shared" si="0"/>
        <v>3</v>
      </c>
      <c r="F6" s="504"/>
      <c r="G6" s="195">
        <f t="shared" si="1"/>
        <v>24.4</v>
      </c>
      <c r="H6" s="539"/>
      <c r="I6" s="539"/>
      <c r="J6" s="539"/>
      <c r="K6" s="545"/>
      <c r="L6" s="539"/>
      <c r="M6" s="172"/>
      <c r="N6" s="172"/>
      <c r="O6" s="172"/>
      <c r="P6" s="172"/>
      <c r="Q6" s="258"/>
      <c r="R6" s="258"/>
    </row>
    <row r="7" spans="1:18" x14ac:dyDescent="0.25">
      <c r="A7" s="260"/>
      <c r="B7" s="262">
        <v>4</v>
      </c>
      <c r="C7" s="196">
        <v>43879</v>
      </c>
      <c r="D7" s="197">
        <v>3</v>
      </c>
      <c r="E7" s="198">
        <f t="shared" si="0"/>
        <v>3</v>
      </c>
      <c r="F7" s="504"/>
      <c r="G7" s="195">
        <f t="shared" si="1"/>
        <v>24.4</v>
      </c>
      <c r="H7" s="539"/>
      <c r="I7" s="539"/>
      <c r="J7" s="539"/>
      <c r="K7" s="545"/>
      <c r="L7" s="539"/>
      <c r="M7" s="172"/>
      <c r="N7" s="172"/>
      <c r="O7" s="172"/>
      <c r="P7" s="172"/>
      <c r="Q7" s="258"/>
      <c r="R7" s="258"/>
    </row>
    <row r="8" spans="1:18" x14ac:dyDescent="0.25">
      <c r="A8" s="260"/>
      <c r="B8" s="262">
        <v>5</v>
      </c>
      <c r="C8" s="196">
        <v>43880</v>
      </c>
      <c r="D8" s="199">
        <v>3</v>
      </c>
      <c r="E8" s="198">
        <f t="shared" si="0"/>
        <v>3</v>
      </c>
      <c r="F8" s="504"/>
      <c r="G8" s="195">
        <f t="shared" si="1"/>
        <v>24.4</v>
      </c>
      <c r="H8" s="539"/>
      <c r="I8" s="539"/>
      <c r="J8" s="539"/>
      <c r="K8" s="545"/>
      <c r="L8" s="539"/>
      <c r="M8" s="172"/>
      <c r="N8" s="172"/>
      <c r="O8" s="172"/>
      <c r="P8" s="172"/>
      <c r="Q8" s="258"/>
      <c r="R8" s="258"/>
    </row>
    <row r="9" spans="1:18" x14ac:dyDescent="0.25">
      <c r="A9" s="260"/>
      <c r="B9" s="262">
        <v>6</v>
      </c>
      <c r="C9" s="196">
        <v>43881</v>
      </c>
      <c r="D9" s="197">
        <v>4</v>
      </c>
      <c r="E9" s="198">
        <f t="shared" si="0"/>
        <v>4</v>
      </c>
      <c r="F9" s="504"/>
      <c r="G9" s="195">
        <f t="shared" si="1"/>
        <v>24.4</v>
      </c>
      <c r="H9" s="539"/>
      <c r="I9" s="539"/>
      <c r="J9" s="539"/>
      <c r="K9" s="545"/>
      <c r="L9" s="539"/>
      <c r="M9" s="172"/>
      <c r="N9" s="172"/>
      <c r="O9" s="172"/>
      <c r="P9" s="172"/>
      <c r="Q9" s="258"/>
      <c r="R9" s="258"/>
    </row>
    <row r="10" spans="1:18" x14ac:dyDescent="0.25">
      <c r="A10" s="260"/>
      <c r="B10" s="262">
        <v>7</v>
      </c>
      <c r="C10" s="196">
        <v>43882</v>
      </c>
      <c r="D10" s="197">
        <v>21</v>
      </c>
      <c r="E10" s="198">
        <f>D10-D9</f>
        <v>17</v>
      </c>
      <c r="F10" s="504"/>
      <c r="G10" s="195">
        <f t="shared" si="1"/>
        <v>24.4</v>
      </c>
      <c r="H10" s="539"/>
      <c r="I10" s="539"/>
      <c r="J10" s="539"/>
      <c r="K10" s="545"/>
      <c r="L10" s="539"/>
      <c r="M10" s="172"/>
      <c r="N10" s="172"/>
      <c r="O10" s="172"/>
      <c r="P10" s="172"/>
      <c r="Q10" s="258"/>
      <c r="R10" s="258"/>
    </row>
    <row r="11" spans="1:18" x14ac:dyDescent="0.25">
      <c r="A11" s="260"/>
      <c r="B11" s="262">
        <v>8</v>
      </c>
      <c r="C11" s="196">
        <v>43883</v>
      </c>
      <c r="D11" s="197">
        <v>97</v>
      </c>
      <c r="E11" s="198">
        <f t="shared" ref="E11:E53" si="2">D11-D10</f>
        <v>76</v>
      </c>
      <c r="F11" s="504"/>
      <c r="G11" s="195">
        <f t="shared" si="1"/>
        <v>24.4</v>
      </c>
      <c r="H11" s="539"/>
      <c r="I11" s="539"/>
      <c r="J11" s="539"/>
      <c r="K11" s="545"/>
      <c r="L11" s="539"/>
      <c r="M11" s="172"/>
      <c r="N11" s="172"/>
      <c r="O11" s="172"/>
      <c r="P11" s="172"/>
      <c r="Q11" s="258"/>
      <c r="R11" s="258"/>
    </row>
    <row r="12" spans="1:18" x14ac:dyDescent="0.25">
      <c r="A12" s="260"/>
      <c r="B12" s="262">
        <v>9</v>
      </c>
      <c r="C12" s="196">
        <v>43884</v>
      </c>
      <c r="D12" s="197">
        <v>157</v>
      </c>
      <c r="E12" s="198">
        <f t="shared" si="2"/>
        <v>60</v>
      </c>
      <c r="F12" s="504"/>
      <c r="G12" s="195">
        <f t="shared" si="1"/>
        <v>24.4</v>
      </c>
      <c r="H12" s="539"/>
      <c r="I12" s="539"/>
      <c r="J12" s="539"/>
      <c r="K12" s="545"/>
      <c r="L12" s="539"/>
      <c r="M12" s="172"/>
      <c r="N12" s="172"/>
      <c r="O12" s="172"/>
      <c r="P12" s="172"/>
      <c r="Q12" s="258"/>
      <c r="R12" s="258"/>
    </row>
    <row r="13" spans="1:18" ht="19.5" thickBot="1" x14ac:dyDescent="0.3">
      <c r="A13" s="260"/>
      <c r="B13" s="263">
        <v>10</v>
      </c>
      <c r="C13" s="200">
        <v>43885</v>
      </c>
      <c r="D13" s="201">
        <v>229</v>
      </c>
      <c r="E13" s="202">
        <f t="shared" si="2"/>
        <v>72</v>
      </c>
      <c r="F13" s="505"/>
      <c r="G13" s="195">
        <f t="shared" si="1"/>
        <v>24.4</v>
      </c>
      <c r="H13" s="540"/>
      <c r="I13" s="540"/>
      <c r="J13" s="540"/>
      <c r="K13" s="546"/>
      <c r="L13" s="540"/>
      <c r="M13" s="172"/>
      <c r="N13" s="172"/>
      <c r="O13" s="172"/>
      <c r="P13" s="172"/>
      <c r="Q13" s="258"/>
      <c r="R13" s="258"/>
    </row>
    <row r="14" spans="1:18" x14ac:dyDescent="0.25">
      <c r="A14" s="260"/>
      <c r="B14" s="261">
        <v>11</v>
      </c>
      <c r="C14" s="192">
        <v>43886</v>
      </c>
      <c r="D14" s="193">
        <v>323</v>
      </c>
      <c r="E14" s="194">
        <f t="shared" si="2"/>
        <v>94</v>
      </c>
      <c r="F14" s="503">
        <f>SUM(E14:E23)</f>
        <v>3629</v>
      </c>
      <c r="G14" s="195">
        <f>F$14/10</f>
        <v>362.9</v>
      </c>
      <c r="H14" s="538">
        <f>SUM(G14:G23)</f>
        <v>3629.0000000000005</v>
      </c>
      <c r="I14" s="538">
        <v>413</v>
      </c>
      <c r="J14" s="538">
        <v>137</v>
      </c>
      <c r="K14" s="544">
        <f>H14/(H4-I4-J4)</f>
        <v>15.377118644067796</v>
      </c>
      <c r="L14" s="538">
        <f>H14*0.12</f>
        <v>435.48</v>
      </c>
      <c r="M14" s="172"/>
      <c r="N14" s="172"/>
      <c r="O14" s="172"/>
      <c r="P14" s="172"/>
      <c r="Q14" s="258"/>
      <c r="R14" s="258"/>
    </row>
    <row r="15" spans="1:18" x14ac:dyDescent="0.25">
      <c r="A15" s="260"/>
      <c r="B15" s="262">
        <v>12</v>
      </c>
      <c r="C15" s="196">
        <v>43887</v>
      </c>
      <c r="D15" s="197">
        <v>470</v>
      </c>
      <c r="E15" s="198">
        <f t="shared" si="2"/>
        <v>147</v>
      </c>
      <c r="F15" s="504"/>
      <c r="G15" s="195">
        <f t="shared" ref="G15:G23" si="3">F$14/10</f>
        <v>362.9</v>
      </c>
      <c r="H15" s="539"/>
      <c r="I15" s="539"/>
      <c r="J15" s="539"/>
      <c r="K15" s="545"/>
      <c r="L15" s="539"/>
      <c r="M15" s="172"/>
      <c r="N15" s="172"/>
      <c r="O15" s="172"/>
      <c r="P15" s="172"/>
      <c r="Q15" s="258"/>
      <c r="R15" s="258"/>
    </row>
    <row r="16" spans="1:18" x14ac:dyDescent="0.25">
      <c r="A16" s="260"/>
      <c r="B16" s="262">
        <v>13</v>
      </c>
      <c r="C16" s="196">
        <v>43888</v>
      </c>
      <c r="D16" s="197">
        <v>655</v>
      </c>
      <c r="E16" s="198">
        <f t="shared" si="2"/>
        <v>185</v>
      </c>
      <c r="F16" s="504"/>
      <c r="G16" s="195">
        <f t="shared" si="3"/>
        <v>362.9</v>
      </c>
      <c r="H16" s="539"/>
      <c r="I16" s="539"/>
      <c r="J16" s="539"/>
      <c r="K16" s="545"/>
      <c r="L16" s="539"/>
      <c r="M16" s="172"/>
      <c r="N16" s="172"/>
      <c r="O16" s="172"/>
      <c r="P16" s="172"/>
      <c r="Q16" s="258"/>
      <c r="R16" s="258"/>
    </row>
    <row r="17" spans="1:24" s="52" customFormat="1" x14ac:dyDescent="0.3">
      <c r="A17" s="260"/>
      <c r="B17" s="262">
        <v>14</v>
      </c>
      <c r="C17" s="196">
        <v>43889</v>
      </c>
      <c r="D17" s="197">
        <v>889</v>
      </c>
      <c r="E17" s="198">
        <f t="shared" si="2"/>
        <v>234</v>
      </c>
      <c r="F17" s="504"/>
      <c r="G17" s="195">
        <f t="shared" si="3"/>
        <v>362.9</v>
      </c>
      <c r="H17" s="539"/>
      <c r="I17" s="539"/>
      <c r="J17" s="539"/>
      <c r="K17" s="545"/>
      <c r="L17" s="539"/>
      <c r="M17" s="172"/>
      <c r="N17" s="172"/>
      <c r="O17" s="172"/>
      <c r="P17" s="172"/>
      <c r="Q17" s="258"/>
      <c r="R17" s="258"/>
      <c r="S17" s="31"/>
      <c r="T17" s="31"/>
      <c r="U17" s="31"/>
      <c r="V17" s="2"/>
      <c r="W17" s="2"/>
      <c r="X17" s="2"/>
    </row>
    <row r="18" spans="1:24" s="52" customFormat="1" x14ac:dyDescent="0.3">
      <c r="A18" s="260"/>
      <c r="B18" s="262">
        <v>15</v>
      </c>
      <c r="C18" s="196">
        <v>43890</v>
      </c>
      <c r="D18" s="197">
        <v>128</v>
      </c>
      <c r="E18" s="198">
        <f t="shared" si="2"/>
        <v>-761</v>
      </c>
      <c r="F18" s="504"/>
      <c r="G18" s="195">
        <f t="shared" si="3"/>
        <v>362.9</v>
      </c>
      <c r="H18" s="539"/>
      <c r="I18" s="539"/>
      <c r="J18" s="539"/>
      <c r="K18" s="545"/>
      <c r="L18" s="539"/>
      <c r="M18" s="172"/>
      <c r="N18" s="172"/>
      <c r="O18" s="172"/>
      <c r="P18" s="172"/>
      <c r="Q18" s="258"/>
      <c r="R18" s="258"/>
      <c r="S18" s="31"/>
      <c r="T18" s="31"/>
      <c r="U18" s="31"/>
      <c r="V18" s="2"/>
      <c r="W18" s="2"/>
      <c r="X18" s="2"/>
    </row>
    <row r="19" spans="1:24" s="52" customFormat="1" x14ac:dyDescent="0.3">
      <c r="A19" s="260"/>
      <c r="B19" s="262">
        <v>16</v>
      </c>
      <c r="C19" s="196">
        <v>43891</v>
      </c>
      <c r="D19" s="197">
        <v>1701</v>
      </c>
      <c r="E19" s="198">
        <f t="shared" si="2"/>
        <v>1573</v>
      </c>
      <c r="F19" s="504"/>
      <c r="G19" s="195">
        <f t="shared" si="3"/>
        <v>362.9</v>
      </c>
      <c r="H19" s="539"/>
      <c r="I19" s="539"/>
      <c r="J19" s="539"/>
      <c r="K19" s="545"/>
      <c r="L19" s="539"/>
      <c r="M19" s="172"/>
      <c r="N19" s="172"/>
      <c r="O19" s="172"/>
      <c r="P19" s="172"/>
      <c r="Q19" s="258"/>
      <c r="R19" s="258"/>
      <c r="S19" s="31"/>
      <c r="T19" s="31"/>
      <c r="U19" s="31"/>
      <c r="V19" s="2"/>
      <c r="W19" s="2"/>
      <c r="X19" s="2"/>
    </row>
    <row r="20" spans="1:24" s="52" customFormat="1" x14ac:dyDescent="0.3">
      <c r="A20" s="260"/>
      <c r="B20" s="262">
        <v>17</v>
      </c>
      <c r="C20" s="196">
        <v>43892</v>
      </c>
      <c r="D20" s="197">
        <v>2036</v>
      </c>
      <c r="E20" s="198">
        <f t="shared" si="2"/>
        <v>335</v>
      </c>
      <c r="F20" s="504"/>
      <c r="G20" s="195">
        <f t="shared" si="3"/>
        <v>362.9</v>
      </c>
      <c r="H20" s="539"/>
      <c r="I20" s="539"/>
      <c r="J20" s="539"/>
      <c r="K20" s="545"/>
      <c r="L20" s="539"/>
      <c r="M20" s="172"/>
      <c r="N20" s="172"/>
      <c r="O20" s="172"/>
      <c r="P20" s="172"/>
      <c r="Q20" s="258"/>
      <c r="R20" s="258"/>
      <c r="S20" s="31"/>
      <c r="T20" s="31"/>
      <c r="U20" s="31"/>
      <c r="V20" s="2"/>
      <c r="W20" s="2"/>
      <c r="X20" s="2"/>
    </row>
    <row r="21" spans="1:24" s="52" customFormat="1" x14ac:dyDescent="0.3">
      <c r="A21" s="260"/>
      <c r="B21" s="262">
        <v>18</v>
      </c>
      <c r="C21" s="196">
        <v>43893</v>
      </c>
      <c r="D21" s="197">
        <v>2502</v>
      </c>
      <c r="E21" s="198">
        <f t="shared" si="2"/>
        <v>466</v>
      </c>
      <c r="F21" s="504"/>
      <c r="G21" s="195">
        <f t="shared" si="3"/>
        <v>362.9</v>
      </c>
      <c r="H21" s="539"/>
      <c r="I21" s="539"/>
      <c r="J21" s="539"/>
      <c r="K21" s="545"/>
      <c r="L21" s="539"/>
      <c r="M21" s="172"/>
      <c r="N21" s="172"/>
      <c r="O21" s="172"/>
      <c r="P21" s="172"/>
      <c r="Q21" s="258"/>
      <c r="R21" s="258"/>
      <c r="S21" s="31"/>
      <c r="T21" s="31"/>
      <c r="U21" s="31"/>
      <c r="V21" s="2"/>
      <c r="W21" s="2"/>
      <c r="X21" s="2"/>
    </row>
    <row r="22" spans="1:24" s="52" customFormat="1" x14ac:dyDescent="0.3">
      <c r="A22" s="260"/>
      <c r="B22" s="262">
        <v>19</v>
      </c>
      <c r="C22" s="196">
        <v>43894</v>
      </c>
      <c r="D22" s="197">
        <v>3089</v>
      </c>
      <c r="E22" s="198">
        <f t="shared" si="2"/>
        <v>587</v>
      </c>
      <c r="F22" s="504"/>
      <c r="G22" s="195">
        <f t="shared" si="3"/>
        <v>362.9</v>
      </c>
      <c r="H22" s="539"/>
      <c r="I22" s="539"/>
      <c r="J22" s="539"/>
      <c r="K22" s="545"/>
      <c r="L22" s="539"/>
      <c r="M22" s="172"/>
      <c r="N22" s="172"/>
      <c r="O22" s="172"/>
      <c r="P22" s="172"/>
      <c r="Q22" s="258"/>
      <c r="R22" s="258"/>
      <c r="S22" s="31"/>
      <c r="T22" s="31"/>
      <c r="U22" s="31"/>
      <c r="V22" s="2"/>
      <c r="W22" s="2"/>
      <c r="X22" s="2"/>
    </row>
    <row r="23" spans="1:24" s="52" customFormat="1" ht="19.5" thickBot="1" x14ac:dyDescent="0.35">
      <c r="A23" s="260"/>
      <c r="B23" s="263">
        <v>20</v>
      </c>
      <c r="C23" s="200">
        <v>43895</v>
      </c>
      <c r="D23" s="201">
        <v>3858</v>
      </c>
      <c r="E23" s="202">
        <f t="shared" si="2"/>
        <v>769</v>
      </c>
      <c r="F23" s="505"/>
      <c r="G23" s="195">
        <f t="shared" si="3"/>
        <v>362.9</v>
      </c>
      <c r="H23" s="540"/>
      <c r="I23" s="540"/>
      <c r="J23" s="540"/>
      <c r="K23" s="546"/>
      <c r="L23" s="540"/>
      <c r="M23" s="172"/>
      <c r="N23" s="172"/>
      <c r="O23" s="172"/>
      <c r="P23" s="172"/>
      <c r="Q23" s="258"/>
      <c r="R23" s="258"/>
      <c r="S23" s="31"/>
      <c r="T23" s="31"/>
      <c r="U23" s="31"/>
      <c r="V23" s="2"/>
      <c r="W23" s="2"/>
      <c r="X23" s="2"/>
    </row>
    <row r="24" spans="1:24" s="52" customFormat="1" x14ac:dyDescent="0.3">
      <c r="A24" s="260"/>
      <c r="B24" s="264">
        <v>21</v>
      </c>
      <c r="C24" s="204">
        <v>43896</v>
      </c>
      <c r="D24" s="205">
        <v>4636</v>
      </c>
      <c r="E24" s="194">
        <f t="shared" si="2"/>
        <v>778</v>
      </c>
      <c r="F24" s="503">
        <f>SUM(E24:E33)</f>
        <v>20889</v>
      </c>
      <c r="G24" s="195">
        <f>F$24/10</f>
        <v>2088.9</v>
      </c>
      <c r="H24" s="538">
        <v>20889</v>
      </c>
      <c r="I24" s="538">
        <v>1921</v>
      </c>
      <c r="J24" s="538">
        <v>1661</v>
      </c>
      <c r="K24" s="544">
        <f>H24/SUM(H14+H4-I14-I4-J14-J4)</f>
        <v>6.3013574660633473</v>
      </c>
      <c r="L24" s="535">
        <f>H24*0.12</f>
        <v>2506.6799999999998</v>
      </c>
      <c r="M24" s="172"/>
      <c r="N24" s="172"/>
      <c r="O24" s="172"/>
      <c r="P24" s="172"/>
      <c r="Q24" s="258"/>
      <c r="R24" s="258"/>
      <c r="S24" s="31"/>
      <c r="T24" s="31"/>
      <c r="U24" s="31"/>
      <c r="V24" s="2"/>
      <c r="W24" s="2"/>
      <c r="X24" s="2"/>
    </row>
    <row r="25" spans="1:24" s="52" customFormat="1" ht="19.5" thickBot="1" x14ac:dyDescent="0.35">
      <c r="A25" s="260"/>
      <c r="B25" s="265">
        <v>22</v>
      </c>
      <c r="C25" s="209">
        <v>43897</v>
      </c>
      <c r="D25" s="207">
        <v>5883</v>
      </c>
      <c r="E25" s="198">
        <f t="shared" si="2"/>
        <v>1247</v>
      </c>
      <c r="F25" s="504"/>
      <c r="G25" s="195">
        <f t="shared" ref="G25:G33" si="4">F$24/10</f>
        <v>2088.9</v>
      </c>
      <c r="H25" s="539"/>
      <c r="I25" s="539"/>
      <c r="J25" s="539"/>
      <c r="K25" s="545"/>
      <c r="L25" s="536"/>
      <c r="M25" s="172"/>
      <c r="N25" s="172"/>
      <c r="O25" s="172"/>
      <c r="P25" s="172"/>
      <c r="Q25" s="258"/>
      <c r="R25" s="258"/>
      <c r="S25" s="31"/>
      <c r="T25" s="31"/>
      <c r="U25" s="31"/>
      <c r="V25" s="2"/>
      <c r="W25" s="2"/>
      <c r="X25" s="2"/>
    </row>
    <row r="26" spans="1:24" s="52" customFormat="1" ht="23.25" customHeight="1" x14ac:dyDescent="0.3">
      <c r="A26" s="266">
        <v>1</v>
      </c>
      <c r="B26" s="265">
        <v>23</v>
      </c>
      <c r="C26" s="267">
        <v>43898</v>
      </c>
      <c r="D26" s="207">
        <v>7375</v>
      </c>
      <c r="E26" s="198">
        <f t="shared" si="2"/>
        <v>1492</v>
      </c>
      <c r="F26" s="504"/>
      <c r="G26" s="195">
        <f t="shared" si="4"/>
        <v>2088.9</v>
      </c>
      <c r="H26" s="539"/>
      <c r="I26" s="539"/>
      <c r="J26" s="539"/>
      <c r="K26" s="545"/>
      <c r="L26" s="536"/>
      <c r="M26" s="172"/>
      <c r="N26" s="172"/>
      <c r="O26" s="172"/>
      <c r="P26" s="172"/>
      <c r="Q26" s="258"/>
      <c r="R26" s="258"/>
      <c r="S26" s="31"/>
      <c r="T26" s="31"/>
      <c r="U26" s="31"/>
      <c r="V26" s="2"/>
      <c r="W26" s="2"/>
      <c r="X26" s="2"/>
    </row>
    <row r="27" spans="1:24" s="52" customFormat="1" ht="19.5" thickBot="1" x14ac:dyDescent="0.35">
      <c r="A27" s="260">
        <v>2</v>
      </c>
      <c r="B27" s="265">
        <v>24</v>
      </c>
      <c r="C27" s="268">
        <v>43899</v>
      </c>
      <c r="D27" s="208">
        <v>9172</v>
      </c>
      <c r="E27" s="198">
        <f t="shared" si="2"/>
        <v>1797</v>
      </c>
      <c r="F27" s="504"/>
      <c r="G27" s="195">
        <f t="shared" si="4"/>
        <v>2088.9</v>
      </c>
      <c r="H27" s="539"/>
      <c r="I27" s="539"/>
      <c r="J27" s="539"/>
      <c r="K27" s="545"/>
      <c r="L27" s="536"/>
      <c r="M27" s="172"/>
      <c r="N27" s="172"/>
      <c r="O27" s="172"/>
      <c r="P27" s="172"/>
      <c r="Q27" s="258"/>
      <c r="R27" s="258"/>
      <c r="S27" s="31"/>
      <c r="T27" s="31"/>
      <c r="U27" s="31"/>
      <c r="V27" s="2"/>
      <c r="W27" s="2"/>
      <c r="X27" s="2"/>
    </row>
    <row r="28" spans="1:24" s="52" customFormat="1" x14ac:dyDescent="0.3">
      <c r="A28" s="260">
        <v>3</v>
      </c>
      <c r="B28" s="265">
        <v>25</v>
      </c>
      <c r="C28" s="209">
        <v>43900</v>
      </c>
      <c r="D28" s="208">
        <v>10149</v>
      </c>
      <c r="E28" s="198">
        <f t="shared" si="2"/>
        <v>977</v>
      </c>
      <c r="F28" s="504"/>
      <c r="G28" s="195">
        <f t="shared" si="4"/>
        <v>2088.9</v>
      </c>
      <c r="H28" s="539"/>
      <c r="I28" s="539"/>
      <c r="J28" s="539"/>
      <c r="K28" s="545"/>
      <c r="L28" s="536"/>
      <c r="M28" s="172"/>
      <c r="N28" s="172"/>
      <c r="O28" s="172"/>
      <c r="P28" s="172"/>
      <c r="Q28" s="258"/>
      <c r="R28" s="258"/>
      <c r="S28" s="31"/>
      <c r="T28" s="31"/>
      <c r="U28" s="31"/>
      <c r="V28" s="2"/>
      <c r="W28" s="2"/>
      <c r="X28" s="2"/>
    </row>
    <row r="29" spans="1:24" s="52" customFormat="1" ht="19.5" thickBot="1" x14ac:dyDescent="0.35">
      <c r="A29" s="260">
        <v>4</v>
      </c>
      <c r="B29" s="265">
        <v>26</v>
      </c>
      <c r="C29" s="206">
        <v>43901</v>
      </c>
      <c r="D29" s="208">
        <v>12462</v>
      </c>
      <c r="E29" s="198">
        <f t="shared" si="2"/>
        <v>2313</v>
      </c>
      <c r="F29" s="504"/>
      <c r="G29" s="195">
        <f t="shared" si="4"/>
        <v>2088.9</v>
      </c>
      <c r="H29" s="539"/>
      <c r="I29" s="539"/>
      <c r="J29" s="539"/>
      <c r="K29" s="545"/>
      <c r="L29" s="536"/>
      <c r="M29" s="172"/>
      <c r="N29" s="172"/>
      <c r="O29" s="172"/>
      <c r="P29" s="172"/>
      <c r="Q29" s="258"/>
      <c r="R29" s="258"/>
      <c r="S29" s="31"/>
      <c r="T29" s="31"/>
      <c r="U29" s="31"/>
      <c r="V29" s="2"/>
      <c r="W29" s="2"/>
      <c r="X29" s="2"/>
    </row>
    <row r="30" spans="1:24" s="52" customFormat="1" x14ac:dyDescent="0.3">
      <c r="A30" s="260">
        <v>5</v>
      </c>
      <c r="B30" s="269">
        <v>27</v>
      </c>
      <c r="C30" s="204">
        <v>43902</v>
      </c>
      <c r="D30" s="208">
        <v>15113</v>
      </c>
      <c r="E30" s="198">
        <f t="shared" si="2"/>
        <v>2651</v>
      </c>
      <c r="F30" s="504"/>
      <c r="G30" s="195">
        <f t="shared" si="4"/>
        <v>2088.9</v>
      </c>
      <c r="H30" s="539"/>
      <c r="I30" s="539"/>
      <c r="J30" s="539"/>
      <c r="K30" s="545"/>
      <c r="L30" s="536"/>
      <c r="M30" s="172"/>
      <c r="N30" s="172"/>
      <c r="O30" s="172"/>
      <c r="P30" s="172"/>
      <c r="Q30" s="258"/>
      <c r="R30" s="258"/>
      <c r="S30" s="31"/>
      <c r="T30" s="31"/>
      <c r="U30" s="31"/>
      <c r="V30" s="2"/>
      <c r="W30" s="2"/>
      <c r="X30" s="2"/>
    </row>
    <row r="31" spans="1:24" s="52" customFormat="1" ht="19.5" thickBot="1" x14ac:dyDescent="0.35">
      <c r="A31" s="260">
        <v>6</v>
      </c>
      <c r="B31" s="269">
        <v>28</v>
      </c>
      <c r="C31" s="206">
        <v>43903</v>
      </c>
      <c r="D31" s="208">
        <v>17660</v>
      </c>
      <c r="E31" s="198">
        <f t="shared" si="2"/>
        <v>2547</v>
      </c>
      <c r="F31" s="504"/>
      <c r="G31" s="195">
        <f t="shared" si="4"/>
        <v>2088.9</v>
      </c>
      <c r="H31" s="539"/>
      <c r="I31" s="539"/>
      <c r="J31" s="539"/>
      <c r="K31" s="545"/>
      <c r="L31" s="536"/>
      <c r="M31" s="172"/>
      <c r="N31" s="172"/>
      <c r="O31" s="172"/>
      <c r="P31" s="172"/>
      <c r="Q31" s="258"/>
      <c r="R31" s="258"/>
      <c r="S31" s="31"/>
      <c r="T31" s="31"/>
      <c r="U31" s="31"/>
      <c r="V31" s="2"/>
      <c r="W31" s="2"/>
      <c r="X31" s="2"/>
    </row>
    <row r="32" spans="1:24" s="52" customFormat="1" x14ac:dyDescent="0.3">
      <c r="A32" s="260">
        <v>7</v>
      </c>
      <c r="B32" s="265">
        <v>29</v>
      </c>
      <c r="C32" s="204">
        <v>43904</v>
      </c>
      <c r="D32" s="208">
        <v>21157</v>
      </c>
      <c r="E32" s="198">
        <f t="shared" si="2"/>
        <v>3497</v>
      </c>
      <c r="F32" s="504"/>
      <c r="G32" s="195">
        <f t="shared" si="4"/>
        <v>2088.9</v>
      </c>
      <c r="H32" s="539"/>
      <c r="I32" s="539"/>
      <c r="J32" s="539"/>
      <c r="K32" s="545"/>
      <c r="L32" s="536"/>
      <c r="M32" s="172"/>
      <c r="N32" s="172"/>
      <c r="O32" s="172"/>
      <c r="P32" s="172"/>
      <c r="Q32" s="258"/>
      <c r="R32" s="258"/>
      <c r="S32" s="31"/>
      <c r="T32" s="31"/>
      <c r="U32" s="31"/>
      <c r="V32" s="2"/>
      <c r="W32" s="2"/>
      <c r="X32" s="2"/>
    </row>
    <row r="33" spans="1:24" s="31" customFormat="1" ht="19.5" thickBot="1" x14ac:dyDescent="0.3">
      <c r="A33" s="260">
        <v>8</v>
      </c>
      <c r="B33" s="270">
        <v>30</v>
      </c>
      <c r="C33" s="206">
        <v>43905</v>
      </c>
      <c r="D33" s="212">
        <v>24747</v>
      </c>
      <c r="E33" s="202">
        <f t="shared" si="2"/>
        <v>3590</v>
      </c>
      <c r="F33" s="505"/>
      <c r="G33" s="195">
        <f t="shared" si="4"/>
        <v>2088.9</v>
      </c>
      <c r="H33" s="540"/>
      <c r="I33" s="540"/>
      <c r="J33" s="540"/>
      <c r="K33" s="546"/>
      <c r="L33" s="537"/>
      <c r="M33" s="172"/>
      <c r="N33" s="172"/>
      <c r="O33" s="172"/>
      <c r="P33" s="172"/>
      <c r="Q33" s="258"/>
      <c r="R33" s="258"/>
      <c r="V33" s="2"/>
      <c r="W33" s="2"/>
      <c r="X33" s="2"/>
    </row>
    <row r="34" spans="1:24" s="31" customFormat="1" x14ac:dyDescent="0.25">
      <c r="A34" s="260">
        <v>9</v>
      </c>
      <c r="B34" s="261">
        <v>31</v>
      </c>
      <c r="C34" s="271">
        <v>43906</v>
      </c>
      <c r="D34" s="193">
        <v>27980</v>
      </c>
      <c r="E34" s="194">
        <f t="shared" si="2"/>
        <v>3233</v>
      </c>
      <c r="F34" s="503">
        <f>SUM(E34:E43)</f>
        <v>49639</v>
      </c>
      <c r="G34" s="195">
        <f>F$34/10</f>
        <v>4963.8999999999996</v>
      </c>
      <c r="H34" s="538">
        <f>SUM(G34:G43)</f>
        <v>49639.000000000007</v>
      </c>
      <c r="I34" s="538">
        <v>7027</v>
      </c>
      <c r="J34" s="538">
        <v>5694</v>
      </c>
      <c r="K34" s="544">
        <f>H34/SUM(H24+H14+H4-I24-I14-I4-J24-J14-J4)</f>
        <v>2.4070895160508199</v>
      </c>
      <c r="L34" s="535">
        <f>H34*0.12</f>
        <v>5956.68</v>
      </c>
      <c r="M34" s="172"/>
      <c r="N34" s="172"/>
      <c r="O34" s="172"/>
      <c r="P34" s="172"/>
      <c r="Q34" s="258"/>
      <c r="R34" s="258"/>
      <c r="V34" s="2"/>
      <c r="W34" s="2"/>
      <c r="X34" s="2"/>
    </row>
    <row r="35" spans="1:24" s="31" customFormat="1" x14ac:dyDescent="0.25">
      <c r="A35" s="260">
        <v>10</v>
      </c>
      <c r="B35" s="262">
        <v>32</v>
      </c>
      <c r="C35" s="196">
        <v>43907</v>
      </c>
      <c r="D35" s="213">
        <v>31506</v>
      </c>
      <c r="E35" s="198">
        <f t="shared" si="2"/>
        <v>3526</v>
      </c>
      <c r="F35" s="504"/>
      <c r="G35" s="195">
        <f t="shared" ref="G35:G43" si="5">F$34/10</f>
        <v>4963.8999999999996</v>
      </c>
      <c r="H35" s="539"/>
      <c r="I35" s="539"/>
      <c r="J35" s="539"/>
      <c r="K35" s="545"/>
      <c r="L35" s="536"/>
      <c r="M35" s="172"/>
      <c r="N35" s="172"/>
      <c r="O35" s="172"/>
      <c r="P35" s="172"/>
      <c r="Q35" s="258"/>
      <c r="R35" s="258"/>
      <c r="V35" s="2"/>
      <c r="W35" s="2"/>
      <c r="X35" s="2"/>
    </row>
    <row r="36" spans="1:24" s="31" customFormat="1" ht="15.75" x14ac:dyDescent="0.25">
      <c r="A36" s="260">
        <v>11</v>
      </c>
      <c r="B36" s="262">
        <v>33</v>
      </c>
      <c r="C36" s="219">
        <v>43908</v>
      </c>
      <c r="D36" s="213">
        <v>35713</v>
      </c>
      <c r="E36" s="198">
        <f t="shared" si="2"/>
        <v>4207</v>
      </c>
      <c r="F36" s="504"/>
      <c r="G36" s="195">
        <f t="shared" si="5"/>
        <v>4963.8999999999996</v>
      </c>
      <c r="H36" s="539"/>
      <c r="I36" s="539"/>
      <c r="J36" s="539"/>
      <c r="K36" s="545"/>
      <c r="L36" s="553"/>
      <c r="M36" s="360"/>
      <c r="N36" s="360"/>
      <c r="O36" s="360"/>
      <c r="P36" s="360"/>
      <c r="Q36" s="360"/>
      <c r="R36" s="360"/>
      <c r="V36" s="2"/>
      <c r="W36" s="2"/>
      <c r="X36" s="2"/>
    </row>
    <row r="37" spans="1:24" s="31" customFormat="1" ht="15.75" x14ac:dyDescent="0.25">
      <c r="A37" s="260">
        <v>12</v>
      </c>
      <c r="B37" s="262">
        <v>34</v>
      </c>
      <c r="C37" s="196">
        <v>43909</v>
      </c>
      <c r="D37" s="213">
        <v>41035</v>
      </c>
      <c r="E37" s="198">
        <f t="shared" si="2"/>
        <v>5322</v>
      </c>
      <c r="F37" s="504"/>
      <c r="G37" s="195">
        <f t="shared" si="5"/>
        <v>4963.8999999999996</v>
      </c>
      <c r="H37" s="539"/>
      <c r="I37" s="539"/>
      <c r="J37" s="539"/>
      <c r="K37" s="545"/>
      <c r="L37" s="553"/>
      <c r="M37" s="360"/>
      <c r="N37" s="360"/>
      <c r="O37" s="360"/>
      <c r="P37" s="360"/>
      <c r="Q37" s="360"/>
      <c r="R37" s="360"/>
      <c r="V37" s="2"/>
      <c r="W37" s="2"/>
      <c r="X37" s="2"/>
    </row>
    <row r="38" spans="1:24" s="31" customFormat="1" ht="15.75" x14ac:dyDescent="0.25">
      <c r="A38" s="260">
        <v>13</v>
      </c>
      <c r="B38" s="262">
        <v>35</v>
      </c>
      <c r="C38" s="196">
        <v>43910</v>
      </c>
      <c r="D38" s="213">
        <v>47021</v>
      </c>
      <c r="E38" s="198">
        <f t="shared" si="2"/>
        <v>5986</v>
      </c>
      <c r="F38" s="504"/>
      <c r="G38" s="195">
        <f t="shared" si="5"/>
        <v>4963.8999999999996</v>
      </c>
      <c r="H38" s="539"/>
      <c r="I38" s="539"/>
      <c r="J38" s="539"/>
      <c r="K38" s="545"/>
      <c r="L38" s="553"/>
      <c r="M38" s="360"/>
      <c r="N38" s="360"/>
      <c r="O38" s="360"/>
      <c r="P38" s="360"/>
      <c r="Q38" s="360"/>
      <c r="R38" s="360"/>
      <c r="V38" s="2"/>
      <c r="W38" s="2"/>
      <c r="X38" s="2"/>
    </row>
    <row r="39" spans="1:24" s="31" customFormat="1" ht="15.75" x14ac:dyDescent="0.25">
      <c r="A39" s="260">
        <v>14</v>
      </c>
      <c r="B39" s="262">
        <v>36</v>
      </c>
      <c r="C39" s="196">
        <v>43911</v>
      </c>
      <c r="D39" s="213">
        <v>53578</v>
      </c>
      <c r="E39" s="198">
        <f t="shared" si="2"/>
        <v>6557</v>
      </c>
      <c r="F39" s="504"/>
      <c r="G39" s="195">
        <f t="shared" si="5"/>
        <v>4963.8999999999996</v>
      </c>
      <c r="H39" s="539"/>
      <c r="I39" s="539"/>
      <c r="J39" s="539"/>
      <c r="K39" s="545"/>
      <c r="L39" s="553"/>
      <c r="M39" s="360"/>
      <c r="N39" s="360"/>
      <c r="O39" s="360"/>
      <c r="P39" s="360"/>
      <c r="Q39" s="360"/>
      <c r="R39" s="360"/>
      <c r="V39" s="2"/>
      <c r="W39" s="2"/>
      <c r="X39" s="2"/>
    </row>
    <row r="40" spans="1:24" s="31" customFormat="1" ht="15.75" x14ac:dyDescent="0.25">
      <c r="A40" s="260">
        <v>15</v>
      </c>
      <c r="B40" s="262">
        <v>37</v>
      </c>
      <c r="C40" s="196">
        <v>43912</v>
      </c>
      <c r="D40" s="213">
        <v>59138</v>
      </c>
      <c r="E40" s="198">
        <f t="shared" si="2"/>
        <v>5560</v>
      </c>
      <c r="F40" s="504"/>
      <c r="G40" s="195">
        <f t="shared" si="5"/>
        <v>4963.8999999999996</v>
      </c>
      <c r="H40" s="539"/>
      <c r="I40" s="539"/>
      <c r="J40" s="539"/>
      <c r="K40" s="545"/>
      <c r="L40" s="553"/>
      <c r="M40" s="360"/>
      <c r="N40" s="360"/>
      <c r="O40" s="360"/>
      <c r="P40" s="360"/>
      <c r="Q40" s="360"/>
      <c r="R40" s="360"/>
      <c r="V40" s="2"/>
      <c r="W40" s="2"/>
      <c r="X40" s="2"/>
    </row>
    <row r="41" spans="1:24" s="31" customFormat="1" ht="15.75" x14ac:dyDescent="0.25">
      <c r="A41" s="260">
        <v>16</v>
      </c>
      <c r="B41" s="262">
        <v>38</v>
      </c>
      <c r="C41" s="196">
        <v>43913</v>
      </c>
      <c r="D41" s="213">
        <v>63927</v>
      </c>
      <c r="E41" s="198">
        <f t="shared" si="2"/>
        <v>4789</v>
      </c>
      <c r="F41" s="504"/>
      <c r="G41" s="195">
        <f t="shared" si="5"/>
        <v>4963.8999999999996</v>
      </c>
      <c r="H41" s="539"/>
      <c r="I41" s="539"/>
      <c r="J41" s="539"/>
      <c r="K41" s="545"/>
      <c r="L41" s="553"/>
      <c r="M41" s="360"/>
      <c r="N41" s="360"/>
      <c r="O41" s="360"/>
      <c r="P41" s="360"/>
      <c r="Q41" s="360"/>
      <c r="R41" s="360"/>
      <c r="V41" s="2"/>
      <c r="W41" s="2"/>
      <c r="X41" s="2"/>
    </row>
    <row r="42" spans="1:24" s="31" customFormat="1" x14ac:dyDescent="0.25">
      <c r="A42" s="260">
        <v>17</v>
      </c>
      <c r="B42" s="262">
        <v>39</v>
      </c>
      <c r="C42" s="196">
        <v>43914</v>
      </c>
      <c r="D42" s="213">
        <v>69176</v>
      </c>
      <c r="E42" s="198">
        <f t="shared" si="2"/>
        <v>5249</v>
      </c>
      <c r="F42" s="504"/>
      <c r="G42" s="195">
        <f t="shared" si="5"/>
        <v>4963.8999999999996</v>
      </c>
      <c r="H42" s="539"/>
      <c r="I42" s="539"/>
      <c r="J42" s="539"/>
      <c r="K42" s="545"/>
      <c r="L42" s="536"/>
      <c r="M42" s="172"/>
      <c r="N42" s="172"/>
      <c r="O42" s="172"/>
      <c r="P42" s="172"/>
      <c r="Q42" s="258"/>
      <c r="R42" s="258"/>
      <c r="V42" s="2"/>
      <c r="W42" s="2"/>
      <c r="X42" s="2"/>
    </row>
    <row r="43" spans="1:24" s="31" customFormat="1" ht="19.5" thickBot="1" x14ac:dyDescent="0.3">
      <c r="A43" s="260">
        <v>18</v>
      </c>
      <c r="B43" s="263">
        <v>40</v>
      </c>
      <c r="C43" s="200">
        <v>43915</v>
      </c>
      <c r="D43" s="214">
        <v>74386</v>
      </c>
      <c r="E43" s="202">
        <f t="shared" si="2"/>
        <v>5210</v>
      </c>
      <c r="F43" s="505"/>
      <c r="G43" s="195">
        <f t="shared" si="5"/>
        <v>4963.8999999999996</v>
      </c>
      <c r="H43" s="540"/>
      <c r="I43" s="540"/>
      <c r="J43" s="540"/>
      <c r="K43" s="546"/>
      <c r="L43" s="537"/>
      <c r="M43" s="172"/>
      <c r="N43" s="172"/>
      <c r="O43" s="172"/>
      <c r="P43" s="172"/>
      <c r="Q43" s="258"/>
      <c r="R43" s="258"/>
      <c r="V43" s="2"/>
      <c r="W43" s="2"/>
      <c r="X43" s="2"/>
    </row>
    <row r="44" spans="1:24" s="31" customFormat="1" x14ac:dyDescent="0.25">
      <c r="A44" s="260">
        <v>19</v>
      </c>
      <c r="B44" s="261">
        <v>41</v>
      </c>
      <c r="C44" s="272">
        <v>43916</v>
      </c>
      <c r="D44" s="273">
        <v>80589</v>
      </c>
      <c r="E44" s="274">
        <f t="shared" si="2"/>
        <v>6203</v>
      </c>
      <c r="F44" s="541">
        <f>SUM(E44:E53)</f>
        <v>50246</v>
      </c>
      <c r="G44" s="275">
        <f>H$44/10</f>
        <v>5024.6000000000004</v>
      </c>
      <c r="H44" s="538">
        <v>50246</v>
      </c>
      <c r="I44" s="538">
        <v>12670</v>
      </c>
      <c r="J44" s="538">
        <v>7859</v>
      </c>
      <c r="K44" s="544">
        <f>H44/SUM(H34+H24+H14+H4-I34-I24-I14-I4-J34-J24-J14-J4)</f>
        <v>0.87323600973236015</v>
      </c>
      <c r="L44" s="535">
        <f>H44*0.12</f>
        <v>6029.5199999999995</v>
      </c>
      <c r="M44" s="172"/>
      <c r="N44" s="172"/>
      <c r="O44" s="172"/>
      <c r="P44" s="172"/>
      <c r="Q44" s="258"/>
      <c r="R44" s="258"/>
      <c r="V44" s="2"/>
      <c r="W44" s="2"/>
      <c r="X44" s="2"/>
    </row>
    <row r="45" spans="1:24" s="31" customFormat="1" x14ac:dyDescent="0.25">
      <c r="A45" s="260">
        <v>20</v>
      </c>
      <c r="B45" s="262">
        <v>42</v>
      </c>
      <c r="C45" s="276">
        <v>43917</v>
      </c>
      <c r="D45" s="277">
        <v>86498</v>
      </c>
      <c r="E45" s="278">
        <f t="shared" si="2"/>
        <v>5909</v>
      </c>
      <c r="F45" s="542"/>
      <c r="G45" s="275">
        <f t="shared" ref="G45:G53" si="6">H$44/10</f>
        <v>5024.6000000000004</v>
      </c>
      <c r="H45" s="539"/>
      <c r="I45" s="539"/>
      <c r="J45" s="539"/>
      <c r="K45" s="545"/>
      <c r="L45" s="536"/>
      <c r="M45" s="172"/>
      <c r="N45" s="172"/>
      <c r="O45" s="172"/>
      <c r="P45" s="172"/>
      <c r="Q45" s="258"/>
      <c r="R45" s="258"/>
      <c r="V45" s="2"/>
      <c r="W45" s="2"/>
      <c r="X45" s="2"/>
    </row>
    <row r="46" spans="1:24" s="31" customFormat="1" x14ac:dyDescent="0.25">
      <c r="A46" s="260">
        <v>21</v>
      </c>
      <c r="B46" s="262">
        <v>43</v>
      </c>
      <c r="C46" s="276">
        <v>43918</v>
      </c>
      <c r="D46" s="277">
        <v>92472</v>
      </c>
      <c r="E46" s="278">
        <f t="shared" si="2"/>
        <v>5974</v>
      </c>
      <c r="F46" s="542"/>
      <c r="G46" s="275">
        <f t="shared" si="6"/>
        <v>5024.6000000000004</v>
      </c>
      <c r="H46" s="539"/>
      <c r="I46" s="539"/>
      <c r="J46" s="539"/>
      <c r="K46" s="545"/>
      <c r="L46" s="536"/>
      <c r="M46" s="172"/>
      <c r="N46" s="172"/>
      <c r="O46" s="172"/>
      <c r="P46" s="172"/>
      <c r="Q46" s="258"/>
      <c r="R46" s="258"/>
      <c r="V46" s="2"/>
      <c r="W46" s="2"/>
      <c r="X46" s="2"/>
    </row>
    <row r="47" spans="1:24" s="31" customFormat="1" x14ac:dyDescent="0.25">
      <c r="A47" s="260">
        <v>22</v>
      </c>
      <c r="B47" s="262">
        <v>44</v>
      </c>
      <c r="C47" s="276">
        <v>43919</v>
      </c>
      <c r="D47" s="277">
        <v>97689</v>
      </c>
      <c r="E47" s="278">
        <f t="shared" si="2"/>
        <v>5217</v>
      </c>
      <c r="F47" s="542"/>
      <c r="G47" s="275">
        <f t="shared" si="6"/>
        <v>5024.6000000000004</v>
      </c>
      <c r="H47" s="539"/>
      <c r="I47" s="539"/>
      <c r="J47" s="539"/>
      <c r="K47" s="545"/>
      <c r="L47" s="536"/>
      <c r="M47" s="172"/>
      <c r="N47" s="172"/>
      <c r="O47" s="172"/>
      <c r="P47" s="172"/>
      <c r="Q47" s="258"/>
      <c r="R47" s="258"/>
      <c r="V47" s="2"/>
      <c r="W47" s="2"/>
      <c r="X47" s="2"/>
    </row>
    <row r="48" spans="1:24" s="31" customFormat="1" x14ac:dyDescent="0.25">
      <c r="A48" s="279">
        <v>23</v>
      </c>
      <c r="B48" s="262">
        <v>45</v>
      </c>
      <c r="C48" s="276">
        <v>43920</v>
      </c>
      <c r="D48" s="277">
        <v>101739</v>
      </c>
      <c r="E48" s="278">
        <f t="shared" si="2"/>
        <v>4050</v>
      </c>
      <c r="F48" s="542"/>
      <c r="G48" s="275">
        <f t="shared" si="6"/>
        <v>5024.6000000000004</v>
      </c>
      <c r="H48" s="539"/>
      <c r="I48" s="539"/>
      <c r="J48" s="539"/>
      <c r="K48" s="545"/>
      <c r="L48" s="536"/>
      <c r="M48" s="172"/>
      <c r="N48" s="172"/>
      <c r="O48" s="172"/>
      <c r="P48" s="172"/>
      <c r="Q48" s="258"/>
      <c r="R48" s="258"/>
      <c r="V48" s="2"/>
      <c r="W48" s="2"/>
      <c r="X48" s="2"/>
    </row>
    <row r="49" spans="1:24" s="52" customFormat="1" x14ac:dyDescent="0.3">
      <c r="A49" s="260">
        <v>24</v>
      </c>
      <c r="B49" s="262">
        <v>46</v>
      </c>
      <c r="C49" s="276">
        <v>43921</v>
      </c>
      <c r="D49" s="277">
        <v>105792</v>
      </c>
      <c r="E49" s="278">
        <f t="shared" si="2"/>
        <v>4053</v>
      </c>
      <c r="F49" s="542"/>
      <c r="G49" s="275">
        <f t="shared" si="6"/>
        <v>5024.6000000000004</v>
      </c>
      <c r="H49" s="539"/>
      <c r="I49" s="539"/>
      <c r="J49" s="539"/>
      <c r="K49" s="545"/>
      <c r="L49" s="536"/>
      <c r="M49" s="172"/>
      <c r="N49" s="172"/>
      <c r="O49" s="172"/>
      <c r="P49" s="172"/>
      <c r="Q49" s="258"/>
      <c r="R49" s="258"/>
      <c r="S49" s="31"/>
      <c r="T49" s="31"/>
      <c r="U49" s="31"/>
      <c r="V49" s="2"/>
      <c r="W49" s="2"/>
      <c r="X49" s="2"/>
    </row>
    <row r="50" spans="1:24" s="52" customFormat="1" x14ac:dyDescent="0.3">
      <c r="A50" s="260">
        <v>25</v>
      </c>
      <c r="B50" s="262">
        <v>47</v>
      </c>
      <c r="C50" s="276">
        <v>43922</v>
      </c>
      <c r="D50" s="277">
        <v>110574</v>
      </c>
      <c r="E50" s="278">
        <f t="shared" si="2"/>
        <v>4782</v>
      </c>
      <c r="F50" s="542"/>
      <c r="G50" s="275">
        <f t="shared" si="6"/>
        <v>5024.6000000000004</v>
      </c>
      <c r="H50" s="539"/>
      <c r="I50" s="539"/>
      <c r="J50" s="539"/>
      <c r="K50" s="545"/>
      <c r="L50" s="536"/>
      <c r="M50" s="172"/>
      <c r="N50" s="172"/>
      <c r="O50" s="172"/>
      <c r="P50" s="172"/>
      <c r="Q50" s="258"/>
      <c r="R50" s="258"/>
      <c r="S50" s="31"/>
      <c r="T50" s="31"/>
      <c r="U50" s="31"/>
      <c r="V50" s="2"/>
      <c r="W50" s="2"/>
      <c r="X50" s="2"/>
    </row>
    <row r="51" spans="1:24" s="52" customFormat="1" x14ac:dyDescent="0.3">
      <c r="A51" s="279">
        <v>26</v>
      </c>
      <c r="B51" s="280">
        <v>48</v>
      </c>
      <c r="C51" s="276">
        <v>43923</v>
      </c>
      <c r="D51" s="277">
        <v>115242</v>
      </c>
      <c r="E51" s="278">
        <f t="shared" si="2"/>
        <v>4668</v>
      </c>
      <c r="F51" s="542"/>
      <c r="G51" s="275">
        <f t="shared" si="6"/>
        <v>5024.6000000000004</v>
      </c>
      <c r="H51" s="539"/>
      <c r="I51" s="539"/>
      <c r="J51" s="539"/>
      <c r="K51" s="545"/>
      <c r="L51" s="536"/>
      <c r="M51" s="172"/>
      <c r="N51" s="172"/>
      <c r="O51" s="172"/>
      <c r="P51" s="172"/>
      <c r="Q51" s="258"/>
      <c r="R51" s="258"/>
      <c r="S51" s="31"/>
      <c r="T51" s="31"/>
      <c r="U51" s="31"/>
      <c r="V51" s="2"/>
      <c r="W51" s="2"/>
      <c r="X51" s="2"/>
    </row>
    <row r="52" spans="1:24" s="52" customFormat="1" x14ac:dyDescent="0.3">
      <c r="A52" s="260">
        <v>27</v>
      </c>
      <c r="B52" s="262">
        <v>49</v>
      </c>
      <c r="C52" s="276">
        <v>43924</v>
      </c>
      <c r="D52" s="277">
        <v>119827</v>
      </c>
      <c r="E52" s="278">
        <f t="shared" si="2"/>
        <v>4585</v>
      </c>
      <c r="F52" s="542"/>
      <c r="G52" s="275">
        <f t="shared" si="6"/>
        <v>5024.6000000000004</v>
      </c>
      <c r="H52" s="539"/>
      <c r="I52" s="539"/>
      <c r="J52" s="539"/>
      <c r="K52" s="545"/>
      <c r="L52" s="536"/>
      <c r="M52" s="172"/>
      <c r="N52" s="172"/>
      <c r="O52" s="172"/>
      <c r="P52" s="172"/>
      <c r="Q52" s="258"/>
      <c r="R52" s="258"/>
      <c r="S52" s="31"/>
      <c r="T52" s="31"/>
      <c r="U52" s="31"/>
      <c r="V52" s="2"/>
      <c r="W52" s="2"/>
      <c r="X52" s="2"/>
    </row>
    <row r="53" spans="1:24" s="52" customFormat="1" ht="19.5" thickBot="1" x14ac:dyDescent="0.35">
      <c r="A53" s="260">
        <v>28</v>
      </c>
      <c r="B53" s="263">
        <v>50</v>
      </c>
      <c r="C53" s="281">
        <v>43925</v>
      </c>
      <c r="D53" s="282">
        <v>124632</v>
      </c>
      <c r="E53" s="278">
        <f t="shared" si="2"/>
        <v>4805</v>
      </c>
      <c r="F53" s="543"/>
      <c r="G53" s="275">
        <f t="shared" si="6"/>
        <v>5024.6000000000004</v>
      </c>
      <c r="H53" s="540"/>
      <c r="I53" s="540"/>
      <c r="J53" s="540"/>
      <c r="K53" s="546"/>
      <c r="L53" s="537"/>
      <c r="M53" s="172"/>
      <c r="N53" s="172"/>
      <c r="O53" s="172"/>
      <c r="P53" s="172"/>
      <c r="Q53" s="258"/>
      <c r="R53" s="258"/>
      <c r="S53" s="31"/>
      <c r="T53" s="31"/>
      <c r="U53" s="31"/>
      <c r="V53" s="2"/>
      <c r="W53" s="2"/>
      <c r="X53" s="2"/>
    </row>
    <row r="54" spans="1:24" s="52" customFormat="1" x14ac:dyDescent="0.3">
      <c r="A54" s="279">
        <v>29</v>
      </c>
      <c r="B54" s="283">
        <v>51</v>
      </c>
      <c r="C54" s="284">
        <v>43926</v>
      </c>
      <c r="D54" s="285"/>
      <c r="E54" s="286"/>
      <c r="F54" s="532">
        <f>SUM(E54:E63)</f>
        <v>0</v>
      </c>
      <c r="G54" s="287">
        <f>H$54/10</f>
        <v>3500</v>
      </c>
      <c r="H54" s="523">
        <v>35000</v>
      </c>
      <c r="I54" s="523"/>
      <c r="J54" s="523"/>
      <c r="K54" s="526">
        <f>H54/SUM(H44+H34+H24+H14+H4-I44-I34-I24-I14-J44-J34-J24-J14-I4-J4)</f>
        <v>0.40111395074320683</v>
      </c>
      <c r="L54" s="529">
        <f>H54*0.12</f>
        <v>4200</v>
      </c>
      <c r="M54" s="172"/>
      <c r="N54" s="172"/>
      <c r="O54" s="172"/>
      <c r="P54" s="172"/>
      <c r="Q54" s="258"/>
      <c r="R54" s="258"/>
      <c r="S54" s="31"/>
      <c r="T54" s="31"/>
      <c r="U54" s="31"/>
      <c r="V54" s="2"/>
      <c r="W54" s="2"/>
      <c r="X54" s="2"/>
    </row>
    <row r="55" spans="1:24" s="52" customFormat="1" x14ac:dyDescent="0.3">
      <c r="A55" s="260">
        <v>30</v>
      </c>
      <c r="B55" s="262">
        <v>52</v>
      </c>
      <c r="C55" s="288">
        <v>43927</v>
      </c>
      <c r="D55" s="289"/>
      <c r="E55" s="290"/>
      <c r="F55" s="533"/>
      <c r="G55" s="287">
        <f t="shared" ref="G55:G63" si="7">H$54/10</f>
        <v>3500</v>
      </c>
      <c r="H55" s="524"/>
      <c r="I55" s="524"/>
      <c r="J55" s="524"/>
      <c r="K55" s="527"/>
      <c r="L55" s="530"/>
      <c r="M55" s="172"/>
      <c r="N55" s="172"/>
      <c r="O55" s="172"/>
      <c r="P55" s="172"/>
      <c r="Q55" s="258"/>
      <c r="R55" s="258"/>
      <c r="S55" s="31"/>
      <c r="T55" s="31"/>
      <c r="U55" s="31"/>
      <c r="V55" s="2"/>
      <c r="W55" s="2"/>
      <c r="X55" s="2"/>
    </row>
    <row r="56" spans="1:24" s="52" customFormat="1" x14ac:dyDescent="0.3">
      <c r="A56" s="260">
        <v>31</v>
      </c>
      <c r="B56" s="262">
        <v>53</v>
      </c>
      <c r="C56" s="288">
        <v>43928</v>
      </c>
      <c r="D56" s="289"/>
      <c r="E56" s="290"/>
      <c r="F56" s="533"/>
      <c r="G56" s="287">
        <f t="shared" si="7"/>
        <v>3500</v>
      </c>
      <c r="H56" s="524"/>
      <c r="I56" s="524"/>
      <c r="J56" s="524"/>
      <c r="K56" s="527"/>
      <c r="L56" s="530"/>
      <c r="M56" s="172"/>
      <c r="N56" s="172"/>
      <c r="O56" s="172"/>
      <c r="P56" s="172"/>
      <c r="Q56" s="258"/>
      <c r="R56" s="258"/>
      <c r="S56" s="31"/>
      <c r="T56" s="31"/>
      <c r="U56" s="31"/>
      <c r="V56" s="2"/>
      <c r="W56" s="2"/>
      <c r="X56" s="2"/>
    </row>
    <row r="57" spans="1:24" s="52" customFormat="1" x14ac:dyDescent="0.3">
      <c r="A57" s="279">
        <v>32</v>
      </c>
      <c r="B57" s="262">
        <v>54</v>
      </c>
      <c r="C57" s="288">
        <v>43929</v>
      </c>
      <c r="D57" s="289"/>
      <c r="E57" s="290"/>
      <c r="F57" s="533"/>
      <c r="G57" s="287">
        <f t="shared" si="7"/>
        <v>3500</v>
      </c>
      <c r="H57" s="524"/>
      <c r="I57" s="524"/>
      <c r="J57" s="524"/>
      <c r="K57" s="527"/>
      <c r="L57" s="530"/>
      <c r="M57" s="172"/>
      <c r="N57" s="172"/>
      <c r="O57" s="172"/>
      <c r="P57" s="172"/>
      <c r="Q57" s="258"/>
      <c r="R57" s="258"/>
      <c r="S57" s="31"/>
      <c r="T57" s="31"/>
      <c r="U57" s="31"/>
      <c r="V57" s="2"/>
      <c r="W57" s="2"/>
      <c r="X57" s="2"/>
    </row>
    <row r="58" spans="1:24" s="52" customFormat="1" x14ac:dyDescent="0.3">
      <c r="A58" s="260">
        <v>33</v>
      </c>
      <c r="B58" s="262">
        <v>55</v>
      </c>
      <c r="C58" s="288">
        <v>43930</v>
      </c>
      <c r="D58" s="289"/>
      <c r="E58" s="290"/>
      <c r="F58" s="533"/>
      <c r="G58" s="287">
        <f t="shared" si="7"/>
        <v>3500</v>
      </c>
      <c r="H58" s="524"/>
      <c r="I58" s="524"/>
      <c r="J58" s="524"/>
      <c r="K58" s="527"/>
      <c r="L58" s="530"/>
      <c r="M58" s="172"/>
      <c r="N58" s="172"/>
      <c r="O58" s="172"/>
      <c r="P58" s="172"/>
      <c r="Q58" s="258"/>
      <c r="R58" s="258"/>
      <c r="S58" s="31"/>
      <c r="T58" s="31"/>
      <c r="U58" s="31"/>
      <c r="V58" s="2"/>
      <c r="W58" s="2"/>
      <c r="X58" s="2"/>
    </row>
    <row r="59" spans="1:24" s="52" customFormat="1" x14ac:dyDescent="0.3">
      <c r="A59" s="260">
        <v>34</v>
      </c>
      <c r="B59" s="262">
        <v>56</v>
      </c>
      <c r="C59" s="288">
        <v>43931</v>
      </c>
      <c r="D59" s="289"/>
      <c r="E59" s="290"/>
      <c r="F59" s="533"/>
      <c r="G59" s="287">
        <f t="shared" si="7"/>
        <v>3500</v>
      </c>
      <c r="H59" s="524"/>
      <c r="I59" s="524"/>
      <c r="J59" s="524"/>
      <c r="K59" s="527"/>
      <c r="L59" s="530"/>
      <c r="M59" s="172"/>
      <c r="N59" s="172"/>
      <c r="O59" s="172"/>
      <c r="P59" s="172"/>
      <c r="Q59" s="258"/>
      <c r="R59" s="258"/>
      <c r="S59" s="31"/>
      <c r="T59" s="31"/>
      <c r="U59" s="31"/>
      <c r="V59" s="2"/>
      <c r="W59" s="2"/>
      <c r="X59" s="2"/>
    </row>
    <row r="60" spans="1:24" s="52" customFormat="1" x14ac:dyDescent="0.3">
      <c r="A60" s="279">
        <v>35</v>
      </c>
      <c r="B60" s="262">
        <v>57</v>
      </c>
      <c r="C60" s="288">
        <v>43932</v>
      </c>
      <c r="D60" s="289"/>
      <c r="E60" s="290"/>
      <c r="F60" s="533"/>
      <c r="G60" s="287">
        <f t="shared" si="7"/>
        <v>3500</v>
      </c>
      <c r="H60" s="524"/>
      <c r="I60" s="524"/>
      <c r="J60" s="524"/>
      <c r="K60" s="527"/>
      <c r="L60" s="530"/>
      <c r="M60" s="172"/>
      <c r="N60" s="172"/>
      <c r="O60" s="172"/>
      <c r="P60" s="172"/>
      <c r="Q60" s="258"/>
      <c r="R60" s="258"/>
      <c r="S60" s="31"/>
      <c r="T60" s="31"/>
      <c r="U60" s="31"/>
      <c r="V60" s="2"/>
      <c r="W60" s="2"/>
      <c r="X60" s="2"/>
    </row>
    <row r="61" spans="1:24" s="52" customFormat="1" x14ac:dyDescent="0.3">
      <c r="A61" s="260">
        <v>36</v>
      </c>
      <c r="B61" s="262">
        <v>58</v>
      </c>
      <c r="C61" s="288">
        <v>43933</v>
      </c>
      <c r="D61" s="289"/>
      <c r="E61" s="290"/>
      <c r="F61" s="533"/>
      <c r="G61" s="287">
        <f t="shared" si="7"/>
        <v>3500</v>
      </c>
      <c r="H61" s="524"/>
      <c r="I61" s="524"/>
      <c r="J61" s="524"/>
      <c r="K61" s="527"/>
      <c r="L61" s="530"/>
      <c r="M61" s="172"/>
      <c r="N61" s="172"/>
      <c r="O61" s="172"/>
      <c r="P61" s="172"/>
      <c r="Q61" s="258"/>
      <c r="R61" s="258"/>
      <c r="S61" s="31"/>
      <c r="T61" s="31"/>
      <c r="U61" s="31"/>
      <c r="V61" s="2"/>
      <c r="W61" s="2"/>
      <c r="X61" s="2"/>
    </row>
    <row r="62" spans="1:24" s="52" customFormat="1" x14ac:dyDescent="0.3">
      <c r="A62" s="260">
        <v>37</v>
      </c>
      <c r="B62" s="262">
        <v>59</v>
      </c>
      <c r="C62" s="288">
        <v>43934</v>
      </c>
      <c r="D62" s="289"/>
      <c r="E62" s="290"/>
      <c r="F62" s="533"/>
      <c r="G62" s="287">
        <f t="shared" si="7"/>
        <v>3500</v>
      </c>
      <c r="H62" s="524"/>
      <c r="I62" s="524"/>
      <c r="J62" s="524"/>
      <c r="K62" s="527"/>
      <c r="L62" s="530"/>
      <c r="M62" s="172"/>
      <c r="N62" s="172"/>
      <c r="O62" s="172"/>
      <c r="P62" s="172"/>
      <c r="Q62" s="258"/>
      <c r="R62" s="258"/>
      <c r="S62" s="31"/>
      <c r="T62" s="31"/>
      <c r="U62" s="31"/>
      <c r="V62" s="2"/>
      <c r="W62" s="2"/>
      <c r="X62" s="2"/>
    </row>
    <row r="63" spans="1:24" s="52" customFormat="1" ht="19.5" thickBot="1" x14ac:dyDescent="0.35">
      <c r="A63" s="279">
        <v>38</v>
      </c>
      <c r="B63" s="263">
        <v>60</v>
      </c>
      <c r="C63" s="291">
        <v>43935</v>
      </c>
      <c r="D63" s="292"/>
      <c r="E63" s="293"/>
      <c r="F63" s="534"/>
      <c r="G63" s="287">
        <f t="shared" si="7"/>
        <v>3500</v>
      </c>
      <c r="H63" s="525"/>
      <c r="I63" s="525"/>
      <c r="J63" s="525"/>
      <c r="K63" s="528"/>
      <c r="L63" s="531"/>
      <c r="M63" s="172"/>
      <c r="N63" s="172"/>
      <c r="O63" s="172"/>
      <c r="P63" s="172"/>
      <c r="Q63" s="258"/>
      <c r="R63" s="258"/>
      <c r="S63" s="31"/>
      <c r="T63" s="31"/>
      <c r="U63" s="31"/>
      <c r="V63" s="2"/>
      <c r="W63" s="2"/>
      <c r="X63" s="2"/>
    </row>
    <row r="64" spans="1:24" s="52" customFormat="1" x14ac:dyDescent="0.3">
      <c r="A64" s="260">
        <v>39</v>
      </c>
      <c r="B64" s="261">
        <v>61</v>
      </c>
      <c r="C64" s="284">
        <v>43936</v>
      </c>
      <c r="D64" s="285"/>
      <c r="E64" s="286"/>
      <c r="F64" s="532">
        <f>SUM(E64:E73)</f>
        <v>0</v>
      </c>
      <c r="G64" s="287">
        <f>H$64/10</f>
        <v>3000</v>
      </c>
      <c r="H64" s="523">
        <v>30000</v>
      </c>
      <c r="I64" s="523"/>
      <c r="J64" s="523"/>
      <c r="K64" s="526">
        <f>H64/SUM(H4+H54+H44+H34+H24+H14-I54-I44-I34-I24-J54-J44-J34-J24-I14-J14-I4-J4)</f>
        <v>0.24538472234718667</v>
      </c>
      <c r="L64" s="529">
        <f t="shared" ref="L64" si="8">H64*0.12</f>
        <v>3600</v>
      </c>
      <c r="M64" s="172"/>
      <c r="N64" s="172"/>
      <c r="O64" s="172"/>
      <c r="P64" s="172"/>
      <c r="Q64" s="258"/>
      <c r="R64" s="258"/>
      <c r="S64" s="31"/>
      <c r="T64" s="31"/>
      <c r="U64" s="31"/>
      <c r="V64" s="2"/>
      <c r="W64" s="2"/>
      <c r="X64" s="2"/>
    </row>
    <row r="65" spans="1:24" s="52" customFormat="1" x14ac:dyDescent="0.3">
      <c r="A65" s="260">
        <v>40</v>
      </c>
      <c r="B65" s="262">
        <v>62</v>
      </c>
      <c r="C65" s="288">
        <v>43937</v>
      </c>
      <c r="D65" s="289"/>
      <c r="E65" s="290"/>
      <c r="F65" s="533"/>
      <c r="G65" s="287">
        <f t="shared" ref="G65:G73" si="9">H$64/10</f>
        <v>3000</v>
      </c>
      <c r="H65" s="524"/>
      <c r="I65" s="524"/>
      <c r="J65" s="524"/>
      <c r="K65" s="527"/>
      <c r="L65" s="530"/>
      <c r="M65" s="172"/>
      <c r="N65" s="172"/>
      <c r="O65" s="172"/>
      <c r="P65" s="172"/>
      <c r="Q65" s="258"/>
      <c r="R65" s="258"/>
      <c r="S65" s="31"/>
      <c r="T65" s="31"/>
      <c r="U65" s="31"/>
      <c r="V65" s="2"/>
      <c r="W65" s="2"/>
      <c r="X65" s="2"/>
    </row>
    <row r="66" spans="1:24" s="52" customFormat="1" x14ac:dyDescent="0.3">
      <c r="A66" s="279">
        <v>41</v>
      </c>
      <c r="B66" s="262">
        <v>63</v>
      </c>
      <c r="C66" s="288">
        <v>43938</v>
      </c>
      <c r="D66" s="289"/>
      <c r="E66" s="290"/>
      <c r="F66" s="533"/>
      <c r="G66" s="287">
        <f t="shared" si="9"/>
        <v>3000</v>
      </c>
      <c r="H66" s="524"/>
      <c r="I66" s="524"/>
      <c r="J66" s="524"/>
      <c r="K66" s="527"/>
      <c r="L66" s="530"/>
      <c r="M66" s="172"/>
      <c r="N66" s="172"/>
      <c r="O66" s="172"/>
      <c r="P66" s="172"/>
      <c r="Q66" s="258"/>
      <c r="R66" s="258"/>
      <c r="S66" s="31"/>
      <c r="T66" s="31"/>
      <c r="U66" s="31"/>
      <c r="V66" s="2"/>
      <c r="W66" s="2"/>
      <c r="X66" s="2"/>
    </row>
    <row r="67" spans="1:24" s="52" customFormat="1" x14ac:dyDescent="0.3">
      <c r="A67" s="260">
        <v>42</v>
      </c>
      <c r="B67" s="262">
        <v>64</v>
      </c>
      <c r="C67" s="288">
        <v>43939</v>
      </c>
      <c r="D67" s="289"/>
      <c r="E67" s="290"/>
      <c r="F67" s="533"/>
      <c r="G67" s="287">
        <f t="shared" si="9"/>
        <v>3000</v>
      </c>
      <c r="H67" s="524"/>
      <c r="I67" s="524"/>
      <c r="J67" s="524"/>
      <c r="K67" s="527"/>
      <c r="L67" s="530"/>
      <c r="M67" s="172"/>
      <c r="N67" s="172"/>
      <c r="O67" s="172"/>
      <c r="P67" s="172"/>
      <c r="Q67" s="258"/>
      <c r="R67" s="258"/>
      <c r="S67" s="31"/>
      <c r="T67" s="31"/>
      <c r="U67" s="31"/>
      <c r="V67" s="2"/>
      <c r="W67" s="2"/>
      <c r="X67" s="2"/>
    </row>
    <row r="68" spans="1:24" s="52" customFormat="1" x14ac:dyDescent="0.3">
      <c r="A68" s="260">
        <v>43</v>
      </c>
      <c r="B68" s="262">
        <v>65</v>
      </c>
      <c r="C68" s="288">
        <v>43940</v>
      </c>
      <c r="D68" s="289"/>
      <c r="E68" s="290"/>
      <c r="F68" s="533"/>
      <c r="G68" s="287">
        <f t="shared" si="9"/>
        <v>3000</v>
      </c>
      <c r="H68" s="524"/>
      <c r="I68" s="524"/>
      <c r="J68" s="524"/>
      <c r="K68" s="527"/>
      <c r="L68" s="530"/>
      <c r="M68" s="172"/>
      <c r="N68" s="172"/>
      <c r="O68" s="172"/>
      <c r="P68" s="172"/>
      <c r="Q68" s="258"/>
      <c r="R68" s="258"/>
      <c r="S68" s="31"/>
      <c r="T68" s="31"/>
      <c r="U68" s="31"/>
      <c r="V68" s="2"/>
      <c r="W68" s="2"/>
      <c r="X68" s="2"/>
    </row>
    <row r="69" spans="1:24" s="52" customFormat="1" x14ac:dyDescent="0.3">
      <c r="A69" s="279">
        <v>44</v>
      </c>
      <c r="B69" s="262">
        <v>66</v>
      </c>
      <c r="C69" s="288">
        <v>43941</v>
      </c>
      <c r="D69" s="289"/>
      <c r="E69" s="290"/>
      <c r="F69" s="533"/>
      <c r="G69" s="287">
        <f t="shared" si="9"/>
        <v>3000</v>
      </c>
      <c r="H69" s="524"/>
      <c r="I69" s="524"/>
      <c r="J69" s="524"/>
      <c r="K69" s="527"/>
      <c r="L69" s="530"/>
      <c r="M69" s="172"/>
      <c r="N69" s="172"/>
      <c r="O69" s="172"/>
      <c r="P69" s="172"/>
      <c r="Q69" s="258"/>
      <c r="R69" s="258"/>
      <c r="S69" s="31"/>
      <c r="T69" s="31"/>
      <c r="U69" s="31"/>
      <c r="V69" s="2"/>
      <c r="W69" s="2"/>
      <c r="X69" s="2"/>
    </row>
    <row r="70" spans="1:24" s="52" customFormat="1" x14ac:dyDescent="0.3">
      <c r="A70" s="260">
        <v>45</v>
      </c>
      <c r="B70" s="262">
        <v>67</v>
      </c>
      <c r="C70" s="288">
        <v>43942</v>
      </c>
      <c r="D70" s="289"/>
      <c r="E70" s="290"/>
      <c r="F70" s="533"/>
      <c r="G70" s="287">
        <f t="shared" si="9"/>
        <v>3000</v>
      </c>
      <c r="H70" s="524"/>
      <c r="I70" s="524"/>
      <c r="J70" s="524"/>
      <c r="K70" s="527"/>
      <c r="L70" s="530"/>
      <c r="M70" s="172"/>
      <c r="N70" s="172"/>
      <c r="O70" s="172"/>
      <c r="P70" s="172"/>
      <c r="Q70" s="258"/>
      <c r="R70" s="258"/>
      <c r="S70" s="31"/>
      <c r="T70" s="31"/>
      <c r="U70" s="31"/>
      <c r="V70" s="2"/>
      <c r="W70" s="2"/>
      <c r="X70" s="2"/>
    </row>
    <row r="71" spans="1:24" s="52" customFormat="1" x14ac:dyDescent="0.3">
      <c r="A71" s="260">
        <v>46</v>
      </c>
      <c r="B71" s="262">
        <v>68</v>
      </c>
      <c r="C71" s="288">
        <v>43943</v>
      </c>
      <c r="D71" s="289"/>
      <c r="E71" s="290"/>
      <c r="F71" s="533"/>
      <c r="G71" s="287">
        <f t="shared" si="9"/>
        <v>3000</v>
      </c>
      <c r="H71" s="524"/>
      <c r="I71" s="524"/>
      <c r="J71" s="524"/>
      <c r="K71" s="527"/>
      <c r="L71" s="530"/>
      <c r="M71" s="172"/>
      <c r="N71" s="172"/>
      <c r="O71" s="172"/>
      <c r="P71" s="172"/>
      <c r="Q71" s="258"/>
      <c r="R71" s="258"/>
      <c r="S71" s="31"/>
      <c r="T71" s="31"/>
      <c r="U71" s="31"/>
      <c r="V71" s="2"/>
      <c r="W71" s="2"/>
      <c r="X71" s="2"/>
    </row>
    <row r="72" spans="1:24" s="52" customFormat="1" x14ac:dyDescent="0.3">
      <c r="A72" s="279">
        <v>47</v>
      </c>
      <c r="B72" s="262">
        <v>69</v>
      </c>
      <c r="C72" s="288">
        <v>43944</v>
      </c>
      <c r="D72" s="289"/>
      <c r="E72" s="290"/>
      <c r="F72" s="533"/>
      <c r="G72" s="287">
        <f t="shared" si="9"/>
        <v>3000</v>
      </c>
      <c r="H72" s="524"/>
      <c r="I72" s="524"/>
      <c r="J72" s="524"/>
      <c r="K72" s="527"/>
      <c r="L72" s="530"/>
      <c r="M72" s="172"/>
      <c r="N72" s="172"/>
      <c r="O72" s="172"/>
      <c r="P72" s="172"/>
      <c r="Q72" s="258"/>
      <c r="R72" s="258"/>
      <c r="S72" s="31"/>
      <c r="T72" s="31"/>
      <c r="U72" s="31"/>
      <c r="V72" s="2"/>
      <c r="W72" s="2"/>
      <c r="X72" s="2"/>
    </row>
    <row r="73" spans="1:24" s="52" customFormat="1" ht="19.5" thickBot="1" x14ac:dyDescent="0.35">
      <c r="A73" s="260">
        <v>48</v>
      </c>
      <c r="B73" s="263">
        <v>70</v>
      </c>
      <c r="C73" s="291">
        <v>43945</v>
      </c>
      <c r="D73" s="292"/>
      <c r="E73" s="293"/>
      <c r="F73" s="534"/>
      <c r="G73" s="287">
        <f t="shared" si="9"/>
        <v>3000</v>
      </c>
      <c r="H73" s="525"/>
      <c r="I73" s="525"/>
      <c r="J73" s="525"/>
      <c r="K73" s="528"/>
      <c r="L73" s="531"/>
      <c r="M73" s="172"/>
      <c r="N73" s="172"/>
      <c r="O73" s="172"/>
      <c r="P73" s="172"/>
      <c r="Q73" s="258"/>
      <c r="R73" s="258"/>
      <c r="S73" s="31"/>
      <c r="T73" s="31"/>
      <c r="U73" s="31"/>
      <c r="V73" s="2"/>
      <c r="W73" s="2"/>
      <c r="X73" s="2"/>
    </row>
    <row r="74" spans="1:24" s="52" customFormat="1" x14ac:dyDescent="0.3">
      <c r="A74" s="260">
        <v>49</v>
      </c>
      <c r="B74" s="221">
        <v>71</v>
      </c>
      <c r="C74" s="284">
        <v>43946</v>
      </c>
      <c r="D74" s="285"/>
      <c r="E74" s="286"/>
      <c r="F74" s="294">
        <f>SUM(E74:E83)</f>
        <v>0</v>
      </c>
      <c r="G74" s="287">
        <f>H$74/10</f>
        <v>2500</v>
      </c>
      <c r="H74" s="523">
        <v>25000</v>
      </c>
      <c r="I74" s="523"/>
      <c r="J74" s="523"/>
      <c r="K74" s="526">
        <f>H74/SUM(H4+H14+H64+H54+H44+H34+H24-I64-I54-I44-I34-J64-J54-J44-J34-I24-J24-I14-J14-I4-J4)</f>
        <v>0.16419606323518787</v>
      </c>
      <c r="L74" s="529">
        <f>H74*0.12</f>
        <v>3000</v>
      </c>
      <c r="M74" s="172"/>
      <c r="N74" s="172"/>
      <c r="O74" s="172"/>
      <c r="P74" s="172"/>
      <c r="Q74" s="258"/>
      <c r="R74" s="258"/>
      <c r="S74" s="31"/>
      <c r="T74" s="31"/>
      <c r="U74" s="31"/>
      <c r="V74" s="2"/>
      <c r="W74" s="2"/>
      <c r="X74" s="2"/>
    </row>
    <row r="75" spans="1:24" s="52" customFormat="1" x14ac:dyDescent="0.3">
      <c r="A75" s="279">
        <v>50</v>
      </c>
      <c r="B75" s="262">
        <v>72</v>
      </c>
      <c r="C75" s="288">
        <v>43947</v>
      </c>
      <c r="D75" s="289"/>
      <c r="E75" s="290"/>
      <c r="F75" s="295"/>
      <c r="G75" s="287">
        <f t="shared" ref="G75:G83" si="10">H$74/10</f>
        <v>2500</v>
      </c>
      <c r="H75" s="524"/>
      <c r="I75" s="524"/>
      <c r="J75" s="524"/>
      <c r="K75" s="527"/>
      <c r="L75" s="530"/>
      <c r="M75" s="172"/>
      <c r="N75" s="172"/>
      <c r="O75" s="172"/>
      <c r="P75" s="172"/>
      <c r="Q75" s="258"/>
      <c r="R75" s="258"/>
      <c r="S75" s="31"/>
      <c r="T75" s="31"/>
      <c r="U75" s="31"/>
      <c r="V75" s="2"/>
      <c r="W75" s="2"/>
      <c r="X75" s="2"/>
    </row>
    <row r="76" spans="1:24" s="52" customFormat="1" x14ac:dyDescent="0.3">
      <c r="A76" s="260">
        <v>51</v>
      </c>
      <c r="B76" s="262">
        <v>73</v>
      </c>
      <c r="C76" s="288">
        <v>43948</v>
      </c>
      <c r="D76" s="289"/>
      <c r="E76" s="290"/>
      <c r="F76" s="295"/>
      <c r="G76" s="287">
        <f t="shared" si="10"/>
        <v>2500</v>
      </c>
      <c r="H76" s="524"/>
      <c r="I76" s="524"/>
      <c r="J76" s="524"/>
      <c r="K76" s="527"/>
      <c r="L76" s="530"/>
      <c r="M76" s="172"/>
      <c r="N76" s="172"/>
      <c r="O76" s="172"/>
      <c r="P76" s="172"/>
      <c r="Q76" s="258"/>
      <c r="R76" s="258"/>
      <c r="S76" s="31"/>
      <c r="T76" s="31"/>
      <c r="U76" s="31"/>
      <c r="V76" s="2"/>
      <c r="W76" s="2"/>
      <c r="X76" s="2"/>
    </row>
    <row r="77" spans="1:24" s="52" customFormat="1" x14ac:dyDescent="0.3">
      <c r="A77" s="260">
        <v>52</v>
      </c>
      <c r="B77" s="262">
        <v>74</v>
      </c>
      <c r="C77" s="288">
        <v>43949</v>
      </c>
      <c r="D77" s="289"/>
      <c r="E77" s="290"/>
      <c r="F77" s="295"/>
      <c r="G77" s="287">
        <f t="shared" si="10"/>
        <v>2500</v>
      </c>
      <c r="H77" s="524"/>
      <c r="I77" s="524"/>
      <c r="J77" s="524"/>
      <c r="K77" s="527"/>
      <c r="L77" s="530"/>
      <c r="M77" s="172"/>
      <c r="N77" s="172"/>
      <c r="O77" s="172"/>
      <c r="P77" s="172"/>
      <c r="Q77" s="258"/>
      <c r="R77" s="258"/>
      <c r="S77" s="31"/>
      <c r="T77" s="31"/>
      <c r="U77" s="31"/>
      <c r="V77" s="2"/>
      <c r="W77" s="2"/>
      <c r="X77" s="2"/>
    </row>
    <row r="78" spans="1:24" s="52" customFormat="1" x14ac:dyDescent="0.3">
      <c r="A78" s="279">
        <v>53</v>
      </c>
      <c r="B78" s="262">
        <v>75</v>
      </c>
      <c r="C78" s="288">
        <v>43950</v>
      </c>
      <c r="D78" s="289"/>
      <c r="E78" s="290"/>
      <c r="F78" s="295"/>
      <c r="G78" s="287">
        <f t="shared" si="10"/>
        <v>2500</v>
      </c>
      <c r="H78" s="524"/>
      <c r="I78" s="524"/>
      <c r="J78" s="524"/>
      <c r="K78" s="527"/>
      <c r="L78" s="530"/>
      <c r="M78" s="172"/>
      <c r="N78" s="172"/>
      <c r="O78" s="172"/>
      <c r="P78" s="172"/>
      <c r="Q78" s="258"/>
      <c r="R78" s="258"/>
      <c r="S78" s="31"/>
      <c r="T78" s="31"/>
      <c r="U78" s="31"/>
      <c r="V78" s="2"/>
      <c r="W78" s="2"/>
      <c r="X78" s="2"/>
    </row>
    <row r="79" spans="1:24" s="52" customFormat="1" x14ac:dyDescent="0.3">
      <c r="A79" s="260">
        <v>54</v>
      </c>
      <c r="B79" s="262">
        <v>76</v>
      </c>
      <c r="C79" s="288">
        <v>43951</v>
      </c>
      <c r="D79" s="289"/>
      <c r="E79" s="290"/>
      <c r="F79" s="295"/>
      <c r="G79" s="287">
        <f t="shared" si="10"/>
        <v>2500</v>
      </c>
      <c r="H79" s="524"/>
      <c r="I79" s="524"/>
      <c r="J79" s="524"/>
      <c r="K79" s="527"/>
      <c r="L79" s="530"/>
      <c r="M79" s="172"/>
      <c r="N79" s="172"/>
      <c r="O79" s="172"/>
      <c r="P79" s="172"/>
      <c r="Q79" s="258"/>
      <c r="R79" s="258"/>
      <c r="S79" s="31"/>
      <c r="T79" s="31"/>
      <c r="U79" s="31"/>
      <c r="V79" s="2"/>
      <c r="W79" s="2"/>
      <c r="X79" s="2"/>
    </row>
    <row r="80" spans="1:24" s="52" customFormat="1" x14ac:dyDescent="0.3">
      <c r="A80" s="260">
        <v>55</v>
      </c>
      <c r="B80" s="262">
        <v>77</v>
      </c>
      <c r="C80" s="288">
        <v>43952</v>
      </c>
      <c r="D80" s="289"/>
      <c r="E80" s="290"/>
      <c r="F80" s="295"/>
      <c r="G80" s="287">
        <f t="shared" si="10"/>
        <v>2500</v>
      </c>
      <c r="H80" s="524"/>
      <c r="I80" s="524"/>
      <c r="J80" s="524"/>
      <c r="K80" s="527"/>
      <c r="L80" s="530"/>
      <c r="M80" s="172"/>
      <c r="N80" s="172"/>
      <c r="O80" s="172"/>
      <c r="P80" s="172"/>
      <c r="Q80" s="258"/>
      <c r="R80" s="258"/>
      <c r="S80" s="31"/>
      <c r="T80" s="31"/>
      <c r="U80" s="31"/>
      <c r="V80" s="2"/>
      <c r="W80" s="2"/>
      <c r="X80" s="2"/>
    </row>
    <row r="81" spans="1:24" s="52" customFormat="1" x14ac:dyDescent="0.3">
      <c r="A81" s="279">
        <v>56</v>
      </c>
      <c r="B81" s="262">
        <v>78</v>
      </c>
      <c r="C81" s="288">
        <v>43953</v>
      </c>
      <c r="D81" s="289"/>
      <c r="E81" s="290"/>
      <c r="F81" s="295"/>
      <c r="G81" s="287">
        <f t="shared" si="10"/>
        <v>2500</v>
      </c>
      <c r="H81" s="524"/>
      <c r="I81" s="524"/>
      <c r="J81" s="524"/>
      <c r="K81" s="527"/>
      <c r="L81" s="530"/>
      <c r="M81" s="172"/>
      <c r="N81" s="172"/>
      <c r="O81" s="172"/>
      <c r="P81" s="172"/>
      <c r="Q81" s="258"/>
      <c r="R81" s="258"/>
      <c r="S81" s="31"/>
      <c r="T81" s="31"/>
      <c r="U81" s="31"/>
      <c r="V81" s="2"/>
      <c r="W81" s="2"/>
      <c r="X81" s="2"/>
    </row>
    <row r="82" spans="1:24" s="52" customFormat="1" x14ac:dyDescent="0.3">
      <c r="A82" s="260">
        <v>57</v>
      </c>
      <c r="B82" s="262">
        <v>79</v>
      </c>
      <c r="C82" s="288">
        <v>43954</v>
      </c>
      <c r="D82" s="289"/>
      <c r="E82" s="290"/>
      <c r="F82" s="295"/>
      <c r="G82" s="287">
        <f t="shared" si="10"/>
        <v>2500</v>
      </c>
      <c r="H82" s="524"/>
      <c r="I82" s="524"/>
      <c r="J82" s="524"/>
      <c r="K82" s="527"/>
      <c r="L82" s="530"/>
      <c r="M82" s="172"/>
      <c r="N82" s="172"/>
      <c r="O82" s="172"/>
      <c r="P82" s="172"/>
      <c r="Q82" s="258"/>
      <c r="R82" s="258"/>
      <c r="S82" s="31"/>
      <c r="T82" s="31"/>
      <c r="U82" s="31"/>
      <c r="V82" s="2"/>
      <c r="W82" s="2"/>
      <c r="X82" s="2"/>
    </row>
    <row r="83" spans="1:24" s="52" customFormat="1" ht="19.5" thickBot="1" x14ac:dyDescent="0.35">
      <c r="A83" s="260">
        <v>58</v>
      </c>
      <c r="B83" s="263">
        <v>80</v>
      </c>
      <c r="C83" s="291">
        <v>43955</v>
      </c>
      <c r="D83" s="292"/>
      <c r="E83" s="293"/>
      <c r="F83" s="296"/>
      <c r="G83" s="287">
        <f t="shared" si="10"/>
        <v>2500</v>
      </c>
      <c r="H83" s="525"/>
      <c r="I83" s="525"/>
      <c r="J83" s="525"/>
      <c r="K83" s="528"/>
      <c r="L83" s="531"/>
      <c r="M83" s="172"/>
      <c r="N83" s="172"/>
      <c r="O83" s="172"/>
      <c r="P83" s="172"/>
      <c r="Q83" s="258"/>
      <c r="R83" s="258"/>
      <c r="S83" s="31"/>
      <c r="T83" s="31"/>
      <c r="U83" s="31"/>
      <c r="V83" s="2"/>
      <c r="W83" s="2"/>
      <c r="X83" s="2"/>
    </row>
    <row r="84" spans="1:24" s="52" customFormat="1" x14ac:dyDescent="0.3">
      <c r="A84" s="279">
        <v>59</v>
      </c>
      <c r="B84" s="297">
        <v>81</v>
      </c>
      <c r="C84" s="288">
        <v>43946</v>
      </c>
      <c r="D84" s="298"/>
      <c r="E84" s="299"/>
      <c r="F84" s="294">
        <f>SUM(E84:E93)</f>
        <v>0</v>
      </c>
      <c r="G84" s="287">
        <f>H$84/10</f>
        <v>2000</v>
      </c>
      <c r="H84" s="523">
        <v>20000</v>
      </c>
      <c r="I84" s="523"/>
      <c r="J84" s="523"/>
      <c r="K84" s="526">
        <f>H84/SUM(H4+H14+H24+H74+H64+H54+H44+H34-I74-I64-I54-I44-J74-J64-J54-J44-I34-J34-I24-J24-I14-J14-I4-J4)</f>
        <v>0.11283052291305844</v>
      </c>
      <c r="L84" s="529">
        <f>H84*0.12</f>
        <v>2400</v>
      </c>
      <c r="M84" s="172"/>
      <c r="N84" s="172"/>
      <c r="O84" s="172"/>
      <c r="P84" s="172"/>
      <c r="Q84" s="258"/>
      <c r="R84" s="258"/>
      <c r="S84" s="31"/>
      <c r="T84" s="31"/>
      <c r="U84" s="31"/>
      <c r="V84" s="2"/>
      <c r="W84" s="2"/>
      <c r="X84" s="2"/>
    </row>
    <row r="85" spans="1:24" s="52" customFormat="1" x14ac:dyDescent="0.3">
      <c r="A85" s="260">
        <v>60</v>
      </c>
      <c r="B85" s="262">
        <v>82</v>
      </c>
      <c r="C85" s="288">
        <v>43947</v>
      </c>
      <c r="D85" s="289"/>
      <c r="E85" s="290"/>
      <c r="F85" s="295"/>
      <c r="G85" s="287">
        <f t="shared" ref="G85:G93" si="11">H$84/10</f>
        <v>2000</v>
      </c>
      <c r="H85" s="524"/>
      <c r="I85" s="524"/>
      <c r="J85" s="524"/>
      <c r="K85" s="527"/>
      <c r="L85" s="530"/>
      <c r="M85" s="172"/>
      <c r="N85" s="172"/>
      <c r="O85" s="172"/>
      <c r="P85" s="172"/>
      <c r="Q85" s="258"/>
      <c r="R85" s="258"/>
      <c r="S85" s="31"/>
      <c r="T85" s="31"/>
      <c r="U85" s="31"/>
      <c r="V85" s="2"/>
      <c r="W85" s="2"/>
      <c r="X85" s="2"/>
    </row>
    <row r="86" spans="1:24" s="52" customFormat="1" x14ac:dyDescent="0.3">
      <c r="A86" s="260">
        <v>61</v>
      </c>
      <c r="B86" s="262">
        <v>83</v>
      </c>
      <c r="C86" s="288">
        <v>43948</v>
      </c>
      <c r="D86" s="289"/>
      <c r="E86" s="290"/>
      <c r="F86" s="295"/>
      <c r="G86" s="287">
        <f t="shared" si="11"/>
        <v>2000</v>
      </c>
      <c r="H86" s="524"/>
      <c r="I86" s="524"/>
      <c r="J86" s="524"/>
      <c r="K86" s="527"/>
      <c r="L86" s="530"/>
      <c r="M86" s="172"/>
      <c r="N86" s="172"/>
      <c r="O86" s="172"/>
      <c r="P86" s="172"/>
      <c r="Q86" s="258"/>
      <c r="R86" s="258"/>
      <c r="S86" s="31"/>
      <c r="T86" s="31"/>
      <c r="U86" s="31"/>
      <c r="V86" s="2"/>
      <c r="W86" s="2"/>
      <c r="X86" s="2"/>
    </row>
    <row r="87" spans="1:24" s="52" customFormat="1" x14ac:dyDescent="0.3">
      <c r="A87" s="279">
        <v>62</v>
      </c>
      <c r="B87" s="262">
        <v>84</v>
      </c>
      <c r="C87" s="288">
        <v>43949</v>
      </c>
      <c r="D87" s="289"/>
      <c r="E87" s="290"/>
      <c r="F87" s="295"/>
      <c r="G87" s="287">
        <f t="shared" si="11"/>
        <v>2000</v>
      </c>
      <c r="H87" s="524"/>
      <c r="I87" s="524"/>
      <c r="J87" s="524"/>
      <c r="K87" s="527"/>
      <c r="L87" s="530"/>
      <c r="M87" s="172"/>
      <c r="N87" s="172"/>
      <c r="O87" s="172"/>
      <c r="P87" s="172"/>
      <c r="Q87" s="258"/>
      <c r="R87" s="258"/>
      <c r="S87" s="31"/>
      <c r="T87" s="31"/>
      <c r="U87" s="31"/>
      <c r="V87" s="2"/>
      <c r="W87" s="2"/>
      <c r="X87" s="2"/>
    </row>
    <row r="88" spans="1:24" s="52" customFormat="1" ht="23.25" customHeight="1" x14ac:dyDescent="0.3">
      <c r="A88" s="260">
        <v>63</v>
      </c>
      <c r="B88" s="262">
        <v>85</v>
      </c>
      <c r="C88" s="288">
        <v>43950</v>
      </c>
      <c r="D88" s="289"/>
      <c r="E88" s="290"/>
      <c r="F88" s="295"/>
      <c r="G88" s="287">
        <f t="shared" si="11"/>
        <v>2000</v>
      </c>
      <c r="H88" s="524"/>
      <c r="I88" s="524"/>
      <c r="J88" s="524"/>
      <c r="K88" s="527"/>
      <c r="L88" s="530"/>
      <c r="M88" s="172"/>
      <c r="N88" s="172"/>
      <c r="O88" s="172"/>
      <c r="P88" s="172"/>
      <c r="Q88" s="258"/>
      <c r="R88" s="258"/>
      <c r="S88" s="31"/>
      <c r="T88" s="31"/>
      <c r="U88" s="31"/>
      <c r="V88" s="2"/>
      <c r="W88" s="2"/>
      <c r="X88" s="2"/>
    </row>
    <row r="89" spans="1:24" s="52" customFormat="1" x14ac:dyDescent="0.3">
      <c r="A89" s="260">
        <v>64</v>
      </c>
      <c r="B89" s="262">
        <v>86</v>
      </c>
      <c r="C89" s="288">
        <v>43951</v>
      </c>
      <c r="D89" s="289"/>
      <c r="E89" s="290"/>
      <c r="F89" s="295"/>
      <c r="G89" s="287">
        <f t="shared" si="11"/>
        <v>2000</v>
      </c>
      <c r="H89" s="524"/>
      <c r="I89" s="524"/>
      <c r="J89" s="524"/>
      <c r="K89" s="527"/>
      <c r="L89" s="530"/>
      <c r="M89" s="172"/>
      <c r="N89" s="172"/>
      <c r="O89" s="172"/>
      <c r="P89" s="172"/>
      <c r="Q89" s="258"/>
      <c r="R89" s="258"/>
      <c r="S89" s="31"/>
      <c r="T89" s="31"/>
      <c r="U89" s="31"/>
      <c r="V89" s="2"/>
      <c r="W89" s="2"/>
      <c r="X89" s="2"/>
    </row>
    <row r="90" spans="1:24" s="52" customFormat="1" x14ac:dyDescent="0.3">
      <c r="A90" s="279">
        <v>65</v>
      </c>
      <c r="B90" s="262">
        <v>87</v>
      </c>
      <c r="C90" s="288">
        <v>43952</v>
      </c>
      <c r="D90" s="289"/>
      <c r="E90" s="290"/>
      <c r="F90" s="295"/>
      <c r="G90" s="287">
        <f t="shared" si="11"/>
        <v>2000</v>
      </c>
      <c r="H90" s="524"/>
      <c r="I90" s="524"/>
      <c r="J90" s="524"/>
      <c r="K90" s="527"/>
      <c r="L90" s="530"/>
      <c r="M90" s="172"/>
      <c r="N90" s="172"/>
      <c r="O90" s="172"/>
      <c r="P90" s="172"/>
      <c r="Q90" s="258"/>
      <c r="R90" s="258"/>
      <c r="S90" s="31"/>
      <c r="T90" s="31"/>
      <c r="U90" s="31"/>
      <c r="V90" s="2"/>
      <c r="W90" s="2"/>
      <c r="X90" s="2"/>
    </row>
    <row r="91" spans="1:24" s="52" customFormat="1" x14ac:dyDescent="0.3">
      <c r="A91" s="260">
        <v>66</v>
      </c>
      <c r="B91" s="262">
        <v>88</v>
      </c>
      <c r="C91" s="288">
        <v>43953</v>
      </c>
      <c r="D91" s="289"/>
      <c r="E91" s="290"/>
      <c r="F91" s="295"/>
      <c r="G91" s="287">
        <f t="shared" si="11"/>
        <v>2000</v>
      </c>
      <c r="H91" s="524"/>
      <c r="I91" s="524"/>
      <c r="J91" s="524"/>
      <c r="K91" s="527"/>
      <c r="L91" s="530"/>
      <c r="M91" s="172"/>
      <c r="N91" s="172"/>
      <c r="O91" s="172"/>
      <c r="P91" s="172"/>
      <c r="Q91" s="258"/>
      <c r="R91" s="258"/>
      <c r="S91" s="31"/>
      <c r="T91" s="31"/>
      <c r="U91" s="31"/>
      <c r="V91" s="2"/>
      <c r="W91" s="2"/>
      <c r="X91" s="2"/>
    </row>
    <row r="92" spans="1:24" s="52" customFormat="1" x14ac:dyDescent="0.3">
      <c r="A92" s="260">
        <v>67</v>
      </c>
      <c r="B92" s="262">
        <v>89</v>
      </c>
      <c r="C92" s="288">
        <v>43954</v>
      </c>
      <c r="D92" s="289"/>
      <c r="E92" s="290"/>
      <c r="F92" s="295"/>
      <c r="G92" s="287">
        <f t="shared" si="11"/>
        <v>2000</v>
      </c>
      <c r="H92" s="524"/>
      <c r="I92" s="524"/>
      <c r="J92" s="524"/>
      <c r="K92" s="527"/>
      <c r="L92" s="530"/>
      <c r="M92" s="172"/>
      <c r="N92" s="172"/>
      <c r="O92" s="172"/>
      <c r="P92" s="172"/>
      <c r="Q92" s="258"/>
      <c r="R92" s="258"/>
      <c r="S92" s="31"/>
      <c r="T92" s="31"/>
      <c r="U92" s="31"/>
      <c r="V92" s="2"/>
      <c r="W92" s="2"/>
      <c r="X92" s="2"/>
    </row>
    <row r="93" spans="1:24" s="52" customFormat="1" ht="19.5" thickBot="1" x14ac:dyDescent="0.35">
      <c r="A93" s="279">
        <v>68</v>
      </c>
      <c r="B93" s="300">
        <v>90</v>
      </c>
      <c r="C93" s="301">
        <v>43955</v>
      </c>
      <c r="D93" s="302"/>
      <c r="E93" s="303"/>
      <c r="F93" s="296"/>
      <c r="G93" s="287">
        <f t="shared" si="11"/>
        <v>2000</v>
      </c>
      <c r="H93" s="525"/>
      <c r="I93" s="525"/>
      <c r="J93" s="525"/>
      <c r="K93" s="528"/>
      <c r="L93" s="531"/>
      <c r="M93" s="172"/>
      <c r="N93" s="172"/>
      <c r="O93" s="172"/>
      <c r="P93" s="172"/>
      <c r="Q93" s="258"/>
      <c r="R93" s="258"/>
      <c r="S93" s="31"/>
      <c r="T93" s="31"/>
      <c r="U93" s="31"/>
      <c r="V93" s="2"/>
      <c r="W93" s="2"/>
      <c r="X93" s="2"/>
    </row>
    <row r="94" spans="1:24" s="52" customFormat="1" x14ac:dyDescent="0.3">
      <c r="A94" s="260">
        <v>69</v>
      </c>
      <c r="B94" s="283">
        <v>91</v>
      </c>
      <c r="C94" s="304">
        <v>43956</v>
      </c>
      <c r="D94" s="285"/>
      <c r="E94" s="286"/>
      <c r="F94" s="294">
        <f>SUM(E94:E103)</f>
        <v>0</v>
      </c>
      <c r="G94" s="287">
        <f>H$94/10</f>
        <v>1500</v>
      </c>
      <c r="H94" s="523">
        <v>15000</v>
      </c>
      <c r="I94" s="523"/>
      <c r="J94" s="523"/>
      <c r="K94" s="526">
        <f>H94/SUM(H4+H14+H24+H34+H84+H74+H64+H54+H44-I84-I74-I64-I54-J84-J74-J64-J54-I44-J44-I34-J34-I24-J24-I14-J14-I4-J4)</f>
        <v>7.6042928768053852E-2</v>
      </c>
      <c r="L94" s="529">
        <f>H94*0.12</f>
        <v>1800</v>
      </c>
      <c r="M94" s="172"/>
      <c r="N94" s="172"/>
      <c r="O94" s="172"/>
      <c r="P94" s="172"/>
      <c r="Q94" s="258"/>
      <c r="R94" s="258"/>
      <c r="S94" s="31"/>
      <c r="T94" s="31"/>
      <c r="U94" s="31"/>
      <c r="V94" s="2"/>
      <c r="W94" s="2"/>
      <c r="X94" s="2"/>
    </row>
    <row r="95" spans="1:24" s="52" customFormat="1" x14ac:dyDescent="0.3">
      <c r="A95" s="260">
        <v>70</v>
      </c>
      <c r="B95" s="262">
        <v>92</v>
      </c>
      <c r="C95" s="305">
        <v>43957</v>
      </c>
      <c r="D95" s="289"/>
      <c r="E95" s="290"/>
      <c r="F95" s="295"/>
      <c r="G95" s="287">
        <f t="shared" ref="G95:G103" si="12">H$94/10</f>
        <v>1500</v>
      </c>
      <c r="H95" s="524"/>
      <c r="I95" s="524"/>
      <c r="J95" s="524"/>
      <c r="K95" s="527"/>
      <c r="L95" s="530"/>
      <c r="M95" s="172"/>
      <c r="N95" s="172"/>
      <c r="O95" s="172"/>
      <c r="P95" s="172"/>
      <c r="Q95" s="258"/>
      <c r="R95" s="258"/>
      <c r="S95" s="31"/>
      <c r="T95" s="31"/>
      <c r="U95" s="31"/>
      <c r="V95" s="2"/>
      <c r="W95" s="2"/>
      <c r="X95" s="2"/>
    </row>
    <row r="96" spans="1:24" s="52" customFormat="1" x14ac:dyDescent="0.3">
      <c r="A96" s="279">
        <v>71</v>
      </c>
      <c r="B96" s="262">
        <v>93</v>
      </c>
      <c r="C96" s="305">
        <v>43958</v>
      </c>
      <c r="D96" s="289"/>
      <c r="E96" s="290"/>
      <c r="F96" s="295"/>
      <c r="G96" s="287">
        <f t="shared" si="12"/>
        <v>1500</v>
      </c>
      <c r="H96" s="524"/>
      <c r="I96" s="524"/>
      <c r="J96" s="524"/>
      <c r="K96" s="527"/>
      <c r="L96" s="530"/>
      <c r="M96" s="172"/>
      <c r="N96" s="172"/>
      <c r="O96" s="172"/>
      <c r="P96" s="172"/>
      <c r="Q96" s="258"/>
      <c r="R96" s="258"/>
      <c r="S96" s="31"/>
      <c r="T96" s="31"/>
      <c r="U96" s="31"/>
      <c r="V96" s="2"/>
      <c r="W96" s="2"/>
      <c r="X96" s="2"/>
    </row>
    <row r="97" spans="1:24" s="52" customFormat="1" x14ac:dyDescent="0.3">
      <c r="A97" s="260">
        <v>72</v>
      </c>
      <c r="B97" s="262">
        <v>94</v>
      </c>
      <c r="C97" s="305">
        <v>43959</v>
      </c>
      <c r="D97" s="289"/>
      <c r="E97" s="290"/>
      <c r="F97" s="295"/>
      <c r="G97" s="287">
        <f t="shared" si="12"/>
        <v>1500</v>
      </c>
      <c r="H97" s="524"/>
      <c r="I97" s="524"/>
      <c r="J97" s="524"/>
      <c r="K97" s="527"/>
      <c r="L97" s="530"/>
      <c r="M97" s="172"/>
      <c r="N97" s="172"/>
      <c r="O97" s="172"/>
      <c r="P97" s="172"/>
      <c r="Q97" s="258"/>
      <c r="R97" s="258"/>
      <c r="S97" s="31"/>
      <c r="T97" s="31"/>
      <c r="U97" s="31"/>
      <c r="V97" s="2"/>
      <c r="W97" s="2"/>
      <c r="X97" s="2"/>
    </row>
    <row r="98" spans="1:24" s="52" customFormat="1" x14ac:dyDescent="0.3">
      <c r="A98" s="260">
        <v>73</v>
      </c>
      <c r="B98" s="262">
        <v>95</v>
      </c>
      <c r="C98" s="305">
        <v>43960</v>
      </c>
      <c r="D98" s="289"/>
      <c r="E98" s="290"/>
      <c r="F98" s="295"/>
      <c r="G98" s="287">
        <f t="shared" si="12"/>
        <v>1500</v>
      </c>
      <c r="H98" s="524"/>
      <c r="I98" s="524"/>
      <c r="J98" s="524"/>
      <c r="K98" s="527"/>
      <c r="L98" s="530"/>
      <c r="M98" s="172"/>
      <c r="N98" s="172"/>
      <c r="O98" s="172"/>
      <c r="P98" s="172"/>
      <c r="Q98" s="258"/>
      <c r="R98" s="258"/>
      <c r="S98" s="31"/>
      <c r="T98" s="31"/>
      <c r="U98" s="31"/>
      <c r="V98" s="2"/>
      <c r="W98" s="2"/>
      <c r="X98" s="2"/>
    </row>
    <row r="99" spans="1:24" s="52" customFormat="1" x14ac:dyDescent="0.3">
      <c r="A99" s="279">
        <v>74</v>
      </c>
      <c r="B99" s="262">
        <v>96</v>
      </c>
      <c r="C99" s="305">
        <v>43961</v>
      </c>
      <c r="D99" s="289"/>
      <c r="E99" s="290"/>
      <c r="F99" s="295"/>
      <c r="G99" s="287">
        <f t="shared" si="12"/>
        <v>1500</v>
      </c>
      <c r="H99" s="524"/>
      <c r="I99" s="524"/>
      <c r="J99" s="524"/>
      <c r="K99" s="527"/>
      <c r="L99" s="530"/>
      <c r="M99" s="172"/>
      <c r="N99" s="172"/>
      <c r="O99" s="172"/>
      <c r="P99" s="172"/>
      <c r="Q99" s="258"/>
      <c r="R99" s="258"/>
      <c r="S99" s="31"/>
      <c r="T99" s="31"/>
      <c r="U99" s="31"/>
      <c r="V99" s="2"/>
      <c r="W99" s="2"/>
      <c r="X99" s="2"/>
    </row>
    <row r="100" spans="1:24" s="52" customFormat="1" x14ac:dyDescent="0.3">
      <c r="A100" s="260">
        <v>75</v>
      </c>
      <c r="B100" s="262">
        <v>97</v>
      </c>
      <c r="C100" s="305">
        <v>43962</v>
      </c>
      <c r="D100" s="289"/>
      <c r="E100" s="290"/>
      <c r="F100" s="295"/>
      <c r="G100" s="287">
        <f t="shared" si="12"/>
        <v>1500</v>
      </c>
      <c r="H100" s="524"/>
      <c r="I100" s="524"/>
      <c r="J100" s="524"/>
      <c r="K100" s="527"/>
      <c r="L100" s="530"/>
      <c r="M100" s="172"/>
      <c r="N100" s="172"/>
      <c r="O100" s="172"/>
      <c r="P100" s="172"/>
      <c r="Q100" s="258"/>
      <c r="R100" s="258"/>
      <c r="S100" s="31"/>
      <c r="T100" s="31"/>
      <c r="U100" s="31"/>
      <c r="V100" s="2"/>
      <c r="W100" s="2"/>
      <c r="X100" s="2"/>
    </row>
    <row r="101" spans="1:24" s="52" customFormat="1" x14ac:dyDescent="0.3">
      <c r="A101" s="260">
        <v>76</v>
      </c>
      <c r="B101" s="262">
        <v>98</v>
      </c>
      <c r="C101" s="305">
        <v>43963</v>
      </c>
      <c r="D101" s="289"/>
      <c r="E101" s="290"/>
      <c r="F101" s="295"/>
      <c r="G101" s="287">
        <f t="shared" si="12"/>
        <v>1500</v>
      </c>
      <c r="H101" s="524"/>
      <c r="I101" s="524"/>
      <c r="J101" s="524"/>
      <c r="K101" s="527"/>
      <c r="L101" s="530"/>
      <c r="M101" s="172"/>
      <c r="N101" s="172"/>
      <c r="O101" s="172"/>
      <c r="P101" s="172"/>
      <c r="Q101" s="258"/>
      <c r="R101" s="258"/>
      <c r="S101" s="31"/>
      <c r="T101" s="31"/>
      <c r="U101" s="31"/>
      <c r="V101" s="2"/>
      <c r="W101" s="2"/>
      <c r="X101" s="2"/>
    </row>
    <row r="102" spans="1:24" s="52" customFormat="1" x14ac:dyDescent="0.3">
      <c r="A102" s="279">
        <v>77</v>
      </c>
      <c r="B102" s="262">
        <v>99</v>
      </c>
      <c r="C102" s="305">
        <v>43964</v>
      </c>
      <c r="D102" s="289"/>
      <c r="E102" s="290"/>
      <c r="F102" s="295"/>
      <c r="G102" s="287">
        <f t="shared" si="12"/>
        <v>1500</v>
      </c>
      <c r="H102" s="524"/>
      <c r="I102" s="524"/>
      <c r="J102" s="524"/>
      <c r="K102" s="527"/>
      <c r="L102" s="530"/>
      <c r="M102" s="172"/>
      <c r="N102" s="172"/>
      <c r="O102" s="172"/>
      <c r="P102" s="172"/>
      <c r="Q102" s="258"/>
      <c r="R102" s="258"/>
      <c r="S102" s="31"/>
      <c r="T102" s="31"/>
      <c r="U102" s="31"/>
      <c r="V102" s="2"/>
      <c r="W102" s="2"/>
      <c r="X102" s="2"/>
    </row>
    <row r="103" spans="1:24" s="52" customFormat="1" ht="19.5" thickBot="1" x14ac:dyDescent="0.35">
      <c r="A103" s="260">
        <v>78</v>
      </c>
      <c r="B103" s="263">
        <v>100</v>
      </c>
      <c r="C103" s="306">
        <v>43965</v>
      </c>
      <c r="D103" s="292"/>
      <c r="E103" s="293"/>
      <c r="F103" s="296"/>
      <c r="G103" s="287">
        <f t="shared" si="12"/>
        <v>1500</v>
      </c>
      <c r="H103" s="525"/>
      <c r="I103" s="525"/>
      <c r="J103" s="525"/>
      <c r="K103" s="528"/>
      <c r="L103" s="531"/>
      <c r="M103" s="172"/>
      <c r="N103" s="172"/>
      <c r="O103" s="172"/>
      <c r="P103" s="172"/>
      <c r="Q103" s="258"/>
      <c r="R103" s="258"/>
      <c r="S103" s="31"/>
      <c r="T103" s="31"/>
      <c r="U103" s="31"/>
      <c r="V103" s="2"/>
      <c r="W103" s="2"/>
      <c r="X103" s="2"/>
    </row>
    <row r="104" spans="1:24" s="52" customFormat="1" ht="23.25" customHeight="1" x14ac:dyDescent="0.3">
      <c r="A104" s="260">
        <v>79</v>
      </c>
      <c r="B104" s="307">
        <v>101</v>
      </c>
      <c r="C104" s="304">
        <v>43966</v>
      </c>
      <c r="D104" s="285"/>
      <c r="E104" s="286"/>
      <c r="F104" s="294">
        <f>SUM(E104:E113)</f>
        <v>0</v>
      </c>
      <c r="G104" s="287">
        <f>H$104/10</f>
        <v>1000</v>
      </c>
      <c r="H104" s="523">
        <v>10000</v>
      </c>
      <c r="I104" s="523"/>
      <c r="J104" s="523"/>
      <c r="K104" s="526">
        <f>H104/SUM(H4+H14+H24+H34+H44+H94+H84+H74+H64+H54-I94-I84-I74-I64-J94-J84-J74-J64-I54-J54-I44-J44-I34-J34-I24-J24-I14-J14-I4-J4)</f>
        <v>4.711269828556891E-2</v>
      </c>
      <c r="L104" s="523">
        <f>H104*0.12</f>
        <v>1200</v>
      </c>
      <c r="M104" s="172"/>
      <c r="N104" s="172"/>
      <c r="O104" s="172"/>
      <c r="P104" s="172"/>
      <c r="Q104" s="258"/>
      <c r="R104" s="258"/>
      <c r="S104" s="31"/>
      <c r="T104" s="31"/>
      <c r="U104" s="31"/>
      <c r="V104" s="2"/>
      <c r="W104" s="2"/>
      <c r="X104" s="2"/>
    </row>
    <row r="105" spans="1:24" s="52" customFormat="1" ht="23.25" customHeight="1" x14ac:dyDescent="0.3">
      <c r="A105" s="279">
        <v>80</v>
      </c>
      <c r="B105" s="262">
        <v>102</v>
      </c>
      <c r="C105" s="305">
        <v>43967</v>
      </c>
      <c r="D105" s="289"/>
      <c r="E105" s="290"/>
      <c r="F105" s="295"/>
      <c r="G105" s="287">
        <f t="shared" ref="G105:G113" si="13">H$104/10</f>
        <v>1000</v>
      </c>
      <c r="H105" s="524"/>
      <c r="I105" s="524"/>
      <c r="J105" s="524"/>
      <c r="K105" s="527"/>
      <c r="L105" s="524"/>
      <c r="M105" s="172"/>
      <c r="N105" s="172"/>
      <c r="O105" s="172"/>
      <c r="P105" s="172"/>
      <c r="Q105" s="258"/>
      <c r="R105" s="258"/>
      <c r="S105" s="31"/>
      <c r="T105" s="31"/>
      <c r="U105" s="31"/>
      <c r="V105" s="2"/>
      <c r="W105" s="2"/>
      <c r="X105" s="2"/>
    </row>
    <row r="106" spans="1:24" s="52" customFormat="1" ht="23.25" customHeight="1" x14ac:dyDescent="0.3">
      <c r="A106" s="260">
        <v>81</v>
      </c>
      <c r="B106" s="262">
        <v>103</v>
      </c>
      <c r="C106" s="305">
        <v>43968</v>
      </c>
      <c r="D106" s="289"/>
      <c r="E106" s="290"/>
      <c r="F106" s="295"/>
      <c r="G106" s="287">
        <f t="shared" si="13"/>
        <v>1000</v>
      </c>
      <c r="H106" s="524"/>
      <c r="I106" s="524"/>
      <c r="J106" s="524"/>
      <c r="K106" s="527"/>
      <c r="L106" s="524"/>
      <c r="M106" s="172"/>
      <c r="N106" s="172"/>
      <c r="O106" s="172"/>
      <c r="P106" s="172"/>
      <c r="Q106" s="258"/>
      <c r="R106" s="258"/>
      <c r="S106" s="31"/>
      <c r="T106" s="31"/>
      <c r="U106" s="31"/>
      <c r="V106" s="2"/>
      <c r="W106" s="2"/>
      <c r="X106" s="2"/>
    </row>
    <row r="107" spans="1:24" s="52" customFormat="1" ht="23.25" customHeight="1" x14ac:dyDescent="0.3">
      <c r="A107" s="260">
        <v>82</v>
      </c>
      <c r="B107" s="262">
        <v>104</v>
      </c>
      <c r="C107" s="305">
        <v>43969</v>
      </c>
      <c r="D107" s="289"/>
      <c r="E107" s="290"/>
      <c r="F107" s="295"/>
      <c r="G107" s="287">
        <f t="shared" si="13"/>
        <v>1000</v>
      </c>
      <c r="H107" s="524"/>
      <c r="I107" s="524"/>
      <c r="J107" s="524"/>
      <c r="K107" s="527"/>
      <c r="L107" s="524"/>
      <c r="M107" s="172"/>
      <c r="N107" s="172"/>
      <c r="O107" s="172"/>
      <c r="P107" s="172"/>
      <c r="Q107" s="258"/>
      <c r="R107" s="258"/>
      <c r="S107" s="31"/>
      <c r="T107" s="31"/>
      <c r="U107" s="31"/>
      <c r="V107" s="2"/>
      <c r="W107" s="2"/>
      <c r="X107" s="2"/>
    </row>
    <row r="108" spans="1:24" s="52" customFormat="1" ht="23.25" customHeight="1" x14ac:dyDescent="0.3">
      <c r="A108" s="279">
        <v>83</v>
      </c>
      <c r="B108" s="262">
        <v>105</v>
      </c>
      <c r="C108" s="305">
        <v>43970</v>
      </c>
      <c r="D108" s="289"/>
      <c r="E108" s="290"/>
      <c r="F108" s="295"/>
      <c r="G108" s="287">
        <f t="shared" si="13"/>
        <v>1000</v>
      </c>
      <c r="H108" s="524"/>
      <c r="I108" s="524"/>
      <c r="J108" s="524"/>
      <c r="K108" s="527"/>
      <c r="L108" s="524"/>
      <c r="M108" s="172"/>
      <c r="N108" s="172"/>
      <c r="O108" s="172"/>
      <c r="P108" s="172"/>
      <c r="Q108" s="258"/>
      <c r="R108" s="258"/>
      <c r="S108" s="31"/>
      <c r="T108" s="31"/>
      <c r="U108" s="31"/>
      <c r="V108" s="2"/>
      <c r="W108" s="2"/>
      <c r="X108" s="2"/>
    </row>
    <row r="109" spans="1:24" s="52" customFormat="1" ht="23.25" customHeight="1" x14ac:dyDescent="0.3">
      <c r="A109" s="260">
        <v>84</v>
      </c>
      <c r="B109" s="262">
        <v>106</v>
      </c>
      <c r="C109" s="305">
        <v>43971</v>
      </c>
      <c r="D109" s="289"/>
      <c r="E109" s="290"/>
      <c r="F109" s="295"/>
      <c r="G109" s="287">
        <f t="shared" si="13"/>
        <v>1000</v>
      </c>
      <c r="H109" s="524"/>
      <c r="I109" s="524"/>
      <c r="J109" s="524"/>
      <c r="K109" s="527"/>
      <c r="L109" s="524"/>
      <c r="M109" s="172"/>
      <c r="N109" s="172"/>
      <c r="O109" s="172"/>
      <c r="P109" s="172"/>
      <c r="Q109" s="258"/>
      <c r="R109" s="258"/>
      <c r="S109" s="31"/>
      <c r="T109" s="31"/>
      <c r="U109" s="31"/>
      <c r="V109" s="2"/>
      <c r="W109" s="2"/>
      <c r="X109" s="2"/>
    </row>
    <row r="110" spans="1:24" s="52" customFormat="1" ht="23.25" customHeight="1" x14ac:dyDescent="0.3">
      <c r="A110" s="260">
        <v>85</v>
      </c>
      <c r="B110" s="262">
        <v>107</v>
      </c>
      <c r="C110" s="305">
        <v>43972</v>
      </c>
      <c r="D110" s="289"/>
      <c r="E110" s="290"/>
      <c r="F110" s="295"/>
      <c r="G110" s="287">
        <f t="shared" si="13"/>
        <v>1000</v>
      </c>
      <c r="H110" s="524"/>
      <c r="I110" s="524"/>
      <c r="J110" s="524"/>
      <c r="K110" s="527"/>
      <c r="L110" s="524"/>
      <c r="M110" s="172"/>
      <c r="N110" s="172"/>
      <c r="O110" s="172"/>
      <c r="P110" s="172"/>
      <c r="Q110" s="258"/>
      <c r="R110" s="258"/>
      <c r="S110" s="31"/>
      <c r="T110" s="31"/>
      <c r="U110" s="31"/>
      <c r="V110" s="2"/>
      <c r="W110" s="2"/>
      <c r="X110" s="2"/>
    </row>
    <row r="111" spans="1:24" s="52" customFormat="1" ht="23.25" customHeight="1" x14ac:dyDescent="0.3">
      <c r="A111" s="279">
        <v>86</v>
      </c>
      <c r="B111" s="262">
        <v>108</v>
      </c>
      <c r="C111" s="305">
        <v>43973</v>
      </c>
      <c r="D111" s="289"/>
      <c r="E111" s="290"/>
      <c r="F111" s="295"/>
      <c r="G111" s="287">
        <f t="shared" si="13"/>
        <v>1000</v>
      </c>
      <c r="H111" s="524"/>
      <c r="I111" s="524"/>
      <c r="J111" s="524"/>
      <c r="K111" s="527"/>
      <c r="L111" s="524"/>
      <c r="M111" s="172"/>
      <c r="N111" s="172"/>
      <c r="O111" s="172"/>
      <c r="P111" s="172"/>
      <c r="Q111" s="258"/>
      <c r="R111" s="258"/>
      <c r="S111" s="31"/>
      <c r="T111" s="31"/>
      <c r="U111" s="31"/>
      <c r="V111" s="2"/>
      <c r="W111" s="2"/>
      <c r="X111" s="2"/>
    </row>
    <row r="112" spans="1:24" s="52" customFormat="1" ht="23.25" customHeight="1" x14ac:dyDescent="0.3">
      <c r="A112" s="260">
        <v>87</v>
      </c>
      <c r="B112" s="262">
        <v>109</v>
      </c>
      <c r="C112" s="305">
        <v>43974</v>
      </c>
      <c r="D112" s="289"/>
      <c r="E112" s="290"/>
      <c r="F112" s="295"/>
      <c r="G112" s="287">
        <f t="shared" si="13"/>
        <v>1000</v>
      </c>
      <c r="H112" s="524"/>
      <c r="I112" s="524"/>
      <c r="J112" s="524"/>
      <c r="K112" s="527"/>
      <c r="L112" s="524"/>
      <c r="M112" s="172"/>
      <c r="N112" s="172"/>
      <c r="O112" s="172"/>
      <c r="P112" s="172"/>
      <c r="Q112" s="258"/>
      <c r="R112" s="258"/>
      <c r="S112" s="31"/>
      <c r="T112" s="31"/>
      <c r="U112" s="31"/>
      <c r="V112" s="2"/>
      <c r="W112" s="2"/>
      <c r="X112" s="2"/>
    </row>
    <row r="113" spans="1:24" s="52" customFormat="1" ht="24.75" customHeight="1" thickBot="1" x14ac:dyDescent="0.35">
      <c r="A113" s="260">
        <v>88</v>
      </c>
      <c r="B113" s="263">
        <v>110</v>
      </c>
      <c r="C113" s="306">
        <v>43975</v>
      </c>
      <c r="D113" s="292"/>
      <c r="E113" s="293"/>
      <c r="F113" s="296"/>
      <c r="G113" s="287">
        <f t="shared" si="13"/>
        <v>1000</v>
      </c>
      <c r="H113" s="525"/>
      <c r="I113" s="525"/>
      <c r="J113" s="525"/>
      <c r="K113" s="528"/>
      <c r="L113" s="525"/>
      <c r="M113" s="172"/>
      <c r="N113" s="172"/>
      <c r="O113" s="172"/>
      <c r="P113" s="172"/>
      <c r="Q113" s="258"/>
      <c r="R113" s="258"/>
      <c r="S113" s="31"/>
      <c r="T113" s="31"/>
      <c r="U113" s="31"/>
      <c r="V113" s="2"/>
      <c r="W113" s="2"/>
      <c r="X113" s="2"/>
    </row>
    <row r="114" spans="1:24" s="52" customFormat="1" ht="18" customHeight="1" x14ac:dyDescent="0.3">
      <c r="A114" s="279">
        <v>89</v>
      </c>
      <c r="B114" s="261">
        <v>111</v>
      </c>
      <c r="C114" s="304">
        <v>43976</v>
      </c>
      <c r="D114" s="285"/>
      <c r="E114" s="286"/>
      <c r="F114" s="294">
        <f>SUM(E114:E123)</f>
        <v>0</v>
      </c>
      <c r="G114" s="287">
        <f>H$114/10</f>
        <v>500</v>
      </c>
      <c r="H114" s="523">
        <v>5000</v>
      </c>
      <c r="I114" s="523"/>
      <c r="J114" s="523"/>
      <c r="K114" s="526">
        <f>H114/SUM(H4+H14+H24+H34+H44+H54+H104+H94+H84+H74+H64-I104-I94-I84-I74-J104-J94-J84-J74-I64-J64-I54-J54-I44-J44-I34-J34-I24-J24-I14-J14-I4-J4)</f>
        <v>2.2496479300989396E-2</v>
      </c>
      <c r="L114" s="523">
        <f>H114*0.12</f>
        <v>600</v>
      </c>
      <c r="M114" s="172"/>
      <c r="N114" s="172"/>
      <c r="O114" s="172"/>
      <c r="P114" s="172"/>
      <c r="Q114" s="258"/>
      <c r="R114" s="258"/>
      <c r="S114" s="31"/>
      <c r="T114" s="31"/>
      <c r="U114" s="31"/>
      <c r="V114" s="2"/>
      <c r="W114" s="2"/>
      <c r="X114" s="2"/>
    </row>
    <row r="115" spans="1:24" s="52" customFormat="1" ht="18" customHeight="1" x14ac:dyDescent="0.3">
      <c r="A115" s="260">
        <v>90</v>
      </c>
      <c r="B115" s="262">
        <v>112</v>
      </c>
      <c r="C115" s="305">
        <v>43977</v>
      </c>
      <c r="D115" s="289"/>
      <c r="E115" s="290"/>
      <c r="F115" s="295"/>
      <c r="G115" s="287">
        <f t="shared" ref="G115:G123" si="14">H$114/10</f>
        <v>500</v>
      </c>
      <c r="H115" s="524"/>
      <c r="I115" s="524"/>
      <c r="J115" s="524"/>
      <c r="K115" s="527"/>
      <c r="L115" s="524"/>
      <c r="M115" s="172"/>
      <c r="N115" s="172"/>
      <c r="O115" s="172"/>
      <c r="P115" s="172"/>
      <c r="Q115" s="258"/>
      <c r="R115" s="258"/>
      <c r="S115" s="31"/>
      <c r="T115" s="31"/>
      <c r="U115" s="31"/>
      <c r="V115" s="2"/>
      <c r="W115" s="2"/>
      <c r="X115" s="2"/>
    </row>
    <row r="116" spans="1:24" s="52" customFormat="1" ht="18" customHeight="1" x14ac:dyDescent="0.3">
      <c r="A116" s="260">
        <v>91</v>
      </c>
      <c r="B116" s="262">
        <v>113</v>
      </c>
      <c r="C116" s="305">
        <v>43978</v>
      </c>
      <c r="D116" s="289"/>
      <c r="E116" s="290"/>
      <c r="F116" s="295"/>
      <c r="G116" s="287">
        <f t="shared" si="14"/>
        <v>500</v>
      </c>
      <c r="H116" s="524"/>
      <c r="I116" s="524"/>
      <c r="J116" s="524"/>
      <c r="K116" s="527"/>
      <c r="L116" s="524"/>
      <c r="M116" s="172"/>
      <c r="N116" s="172"/>
      <c r="O116" s="172"/>
      <c r="P116" s="172"/>
      <c r="Q116" s="258"/>
      <c r="R116" s="258"/>
      <c r="S116" s="31"/>
      <c r="T116" s="31"/>
      <c r="U116" s="31"/>
      <c r="V116" s="2"/>
      <c r="W116" s="2"/>
      <c r="X116" s="2"/>
    </row>
    <row r="117" spans="1:24" s="52" customFormat="1" ht="18" customHeight="1" x14ac:dyDescent="0.3">
      <c r="A117" s="279">
        <v>92</v>
      </c>
      <c r="B117" s="262">
        <v>114</v>
      </c>
      <c r="C117" s="305">
        <v>43979</v>
      </c>
      <c r="D117" s="289"/>
      <c r="E117" s="290"/>
      <c r="F117" s="295"/>
      <c r="G117" s="287">
        <f t="shared" si="14"/>
        <v>500</v>
      </c>
      <c r="H117" s="524"/>
      <c r="I117" s="524"/>
      <c r="J117" s="524"/>
      <c r="K117" s="527"/>
      <c r="L117" s="524"/>
      <c r="M117" s="172"/>
      <c r="N117" s="172"/>
      <c r="O117" s="172"/>
      <c r="P117" s="172"/>
      <c r="Q117" s="258"/>
      <c r="R117" s="258"/>
      <c r="S117" s="31"/>
      <c r="T117" s="31"/>
      <c r="U117" s="31"/>
      <c r="V117" s="2"/>
      <c r="W117" s="2"/>
      <c r="X117" s="2"/>
    </row>
    <row r="118" spans="1:24" s="52" customFormat="1" ht="18" customHeight="1" x14ac:dyDescent="0.3">
      <c r="A118" s="260">
        <v>93</v>
      </c>
      <c r="B118" s="262">
        <v>115</v>
      </c>
      <c r="C118" s="305">
        <v>43980</v>
      </c>
      <c r="D118" s="289"/>
      <c r="E118" s="290"/>
      <c r="F118" s="295"/>
      <c r="G118" s="287">
        <f t="shared" si="14"/>
        <v>500</v>
      </c>
      <c r="H118" s="524"/>
      <c r="I118" s="524"/>
      <c r="J118" s="524"/>
      <c r="K118" s="527"/>
      <c r="L118" s="524"/>
      <c r="M118" s="172"/>
      <c r="N118" s="172"/>
      <c r="O118" s="172"/>
      <c r="P118" s="172"/>
      <c r="Q118" s="258"/>
      <c r="R118" s="258"/>
      <c r="S118" s="31"/>
      <c r="T118" s="31"/>
      <c r="U118" s="31"/>
      <c r="V118" s="2"/>
      <c r="W118" s="2"/>
      <c r="X118" s="2"/>
    </row>
    <row r="119" spans="1:24" s="52" customFormat="1" ht="18" customHeight="1" x14ac:dyDescent="0.3">
      <c r="A119" s="260">
        <v>94</v>
      </c>
      <c r="B119" s="262">
        <v>116</v>
      </c>
      <c r="C119" s="305">
        <v>43981</v>
      </c>
      <c r="D119" s="289"/>
      <c r="E119" s="290"/>
      <c r="F119" s="295"/>
      <c r="G119" s="287">
        <f t="shared" si="14"/>
        <v>500</v>
      </c>
      <c r="H119" s="524"/>
      <c r="I119" s="524"/>
      <c r="J119" s="524"/>
      <c r="K119" s="527"/>
      <c r="L119" s="524"/>
      <c r="M119" s="172"/>
      <c r="N119" s="172"/>
      <c r="O119" s="172"/>
      <c r="P119" s="172"/>
      <c r="Q119" s="258"/>
      <c r="R119" s="258"/>
      <c r="S119" s="31"/>
      <c r="T119" s="31"/>
      <c r="U119" s="31"/>
      <c r="V119" s="2"/>
      <c r="W119" s="2"/>
      <c r="X119" s="2"/>
    </row>
    <row r="120" spans="1:24" s="52" customFormat="1" ht="18" customHeight="1" x14ac:dyDescent="0.3">
      <c r="A120" s="279">
        <v>95</v>
      </c>
      <c r="B120" s="262">
        <v>117</v>
      </c>
      <c r="C120" s="305">
        <v>43982</v>
      </c>
      <c r="D120" s="289"/>
      <c r="E120" s="290"/>
      <c r="F120" s="295"/>
      <c r="G120" s="287">
        <f t="shared" si="14"/>
        <v>500</v>
      </c>
      <c r="H120" s="524"/>
      <c r="I120" s="524"/>
      <c r="J120" s="524"/>
      <c r="K120" s="527"/>
      <c r="L120" s="524"/>
      <c r="M120" s="172"/>
      <c r="N120" s="172"/>
      <c r="O120" s="172"/>
      <c r="P120" s="172"/>
      <c r="Q120" s="258"/>
      <c r="R120" s="258"/>
      <c r="S120" s="31"/>
      <c r="T120" s="31"/>
      <c r="U120" s="31"/>
      <c r="V120" s="2"/>
      <c r="W120" s="2"/>
      <c r="X120" s="2"/>
    </row>
    <row r="121" spans="1:24" s="52" customFormat="1" ht="18" customHeight="1" x14ac:dyDescent="0.3">
      <c r="A121" s="260">
        <v>96</v>
      </c>
      <c r="B121" s="262">
        <v>118</v>
      </c>
      <c r="C121" s="305">
        <v>43983</v>
      </c>
      <c r="D121" s="289"/>
      <c r="E121" s="290"/>
      <c r="F121" s="295"/>
      <c r="G121" s="287">
        <f t="shared" si="14"/>
        <v>500</v>
      </c>
      <c r="H121" s="524"/>
      <c r="I121" s="524"/>
      <c r="J121" s="524"/>
      <c r="K121" s="527"/>
      <c r="L121" s="524"/>
      <c r="M121" s="172"/>
      <c r="N121" s="172"/>
      <c r="O121" s="172"/>
      <c r="P121" s="172"/>
      <c r="Q121" s="258"/>
      <c r="R121" s="258"/>
      <c r="S121" s="31"/>
      <c r="T121" s="31"/>
      <c r="U121" s="31"/>
      <c r="V121" s="2"/>
      <c r="W121" s="2"/>
      <c r="X121" s="2"/>
    </row>
    <row r="122" spans="1:24" s="52" customFormat="1" ht="18" customHeight="1" x14ac:dyDescent="0.3">
      <c r="A122" s="260">
        <v>97</v>
      </c>
      <c r="B122" s="262">
        <v>119</v>
      </c>
      <c r="C122" s="305">
        <v>43984</v>
      </c>
      <c r="D122" s="289"/>
      <c r="E122" s="290"/>
      <c r="F122" s="295"/>
      <c r="G122" s="287">
        <f t="shared" si="14"/>
        <v>500</v>
      </c>
      <c r="H122" s="524"/>
      <c r="I122" s="524"/>
      <c r="J122" s="524"/>
      <c r="K122" s="527"/>
      <c r="L122" s="524"/>
      <c r="M122" s="172"/>
      <c r="N122" s="172"/>
      <c r="O122" s="172"/>
      <c r="P122" s="172"/>
      <c r="Q122" s="258"/>
      <c r="R122" s="258"/>
      <c r="S122" s="31"/>
      <c r="T122" s="31"/>
      <c r="U122" s="31"/>
      <c r="V122" s="2"/>
      <c r="W122" s="2"/>
      <c r="X122" s="2"/>
    </row>
    <row r="123" spans="1:24" s="52" customFormat="1" ht="18.600000000000001" customHeight="1" thickBot="1" x14ac:dyDescent="0.35">
      <c r="A123" s="279">
        <v>98</v>
      </c>
      <c r="B123" s="263">
        <v>120</v>
      </c>
      <c r="C123" s="306">
        <v>43985</v>
      </c>
      <c r="D123" s="292"/>
      <c r="E123" s="293"/>
      <c r="F123" s="296"/>
      <c r="G123" s="287">
        <f t="shared" si="14"/>
        <v>500</v>
      </c>
      <c r="H123" s="525"/>
      <c r="I123" s="525"/>
      <c r="J123" s="525"/>
      <c r="K123" s="528"/>
      <c r="L123" s="525"/>
      <c r="M123" s="172"/>
      <c r="N123" s="172"/>
      <c r="O123" s="172"/>
      <c r="P123" s="172"/>
      <c r="Q123" s="258"/>
      <c r="R123" s="258"/>
      <c r="S123" s="31"/>
      <c r="T123" s="31"/>
      <c r="U123" s="31"/>
      <c r="V123" s="2"/>
      <c r="W123" s="2"/>
      <c r="X123" s="2"/>
    </row>
    <row r="124" spans="1:24" s="52" customFormat="1" x14ac:dyDescent="0.3">
      <c r="A124" s="260">
        <v>99</v>
      </c>
      <c r="B124" s="261">
        <v>121</v>
      </c>
      <c r="C124" s="304">
        <v>43986</v>
      </c>
      <c r="D124" s="285"/>
      <c r="E124" s="286"/>
      <c r="F124" s="294">
        <f>SUM(E124:E133)</f>
        <v>0</v>
      </c>
      <c r="G124" s="287">
        <f>H$124/10</f>
        <v>200</v>
      </c>
      <c r="H124" s="523">
        <v>2000</v>
      </c>
      <c r="I124" s="523"/>
      <c r="J124" s="523"/>
      <c r="K124" s="526">
        <f>H124/SUM(H4+H14+H24+H34+H44+H54+H64+H114+H104+H94+H84+H74-I114-I104-I94-I84-J114-J104-J94-J84-I74-J74-I64-J64-I54-J54-I44-J44-I34-J34-I24-J24-I14-J14-I4-J4)</f>
        <v>8.8006090021429482E-3</v>
      </c>
      <c r="L124" s="523">
        <f>H124*0.12</f>
        <v>240</v>
      </c>
      <c r="M124" s="172"/>
      <c r="N124" s="172"/>
      <c r="O124" s="172"/>
      <c r="P124" s="172"/>
      <c r="Q124" s="258"/>
      <c r="R124" s="258"/>
      <c r="S124" s="31"/>
      <c r="T124" s="31"/>
      <c r="U124" s="31"/>
      <c r="V124" s="2"/>
      <c r="W124" s="2"/>
      <c r="X124" s="2"/>
    </row>
    <row r="125" spans="1:24" x14ac:dyDescent="0.3">
      <c r="A125" s="260">
        <v>100</v>
      </c>
      <c r="B125" s="262">
        <v>122</v>
      </c>
      <c r="C125" s="305">
        <v>43987</v>
      </c>
      <c r="D125" s="289"/>
      <c r="E125" s="290"/>
      <c r="F125" s="295"/>
      <c r="G125" s="287">
        <f t="shared" ref="G125:G133" si="15">H$124/10</f>
        <v>200</v>
      </c>
      <c r="H125" s="524"/>
      <c r="I125" s="524"/>
      <c r="J125" s="524"/>
      <c r="K125" s="527"/>
      <c r="L125" s="524"/>
    </row>
    <row r="126" spans="1:24" x14ac:dyDescent="0.3">
      <c r="A126" s="279">
        <v>101</v>
      </c>
      <c r="B126" s="262">
        <v>123</v>
      </c>
      <c r="C126" s="305">
        <v>43988</v>
      </c>
      <c r="D126" s="289"/>
      <c r="E126" s="290"/>
      <c r="F126" s="295"/>
      <c r="G126" s="287">
        <f t="shared" si="15"/>
        <v>200</v>
      </c>
      <c r="H126" s="524"/>
      <c r="I126" s="524"/>
      <c r="J126" s="524"/>
      <c r="K126" s="527"/>
      <c r="L126" s="524"/>
    </row>
    <row r="127" spans="1:24" x14ac:dyDescent="0.3">
      <c r="A127" s="260">
        <v>102</v>
      </c>
      <c r="B127" s="262">
        <v>124</v>
      </c>
      <c r="C127" s="305">
        <v>43989</v>
      </c>
      <c r="D127" s="289"/>
      <c r="E127" s="290"/>
      <c r="F127" s="295"/>
      <c r="G127" s="287">
        <f t="shared" si="15"/>
        <v>200</v>
      </c>
      <c r="H127" s="524"/>
      <c r="I127" s="524"/>
      <c r="J127" s="524"/>
      <c r="K127" s="527"/>
      <c r="L127" s="524"/>
    </row>
    <row r="128" spans="1:24" x14ac:dyDescent="0.3">
      <c r="A128" s="260">
        <v>103</v>
      </c>
      <c r="B128" s="262">
        <v>125</v>
      </c>
      <c r="C128" s="305">
        <v>43990</v>
      </c>
      <c r="D128" s="289"/>
      <c r="E128" s="290"/>
      <c r="F128" s="295"/>
      <c r="G128" s="287">
        <f t="shared" si="15"/>
        <v>200</v>
      </c>
      <c r="H128" s="524"/>
      <c r="I128" s="524"/>
      <c r="J128" s="524"/>
      <c r="K128" s="527"/>
      <c r="L128" s="524"/>
    </row>
    <row r="129" spans="1:12" x14ac:dyDescent="0.3">
      <c r="A129" s="279">
        <v>104</v>
      </c>
      <c r="B129" s="262">
        <v>126</v>
      </c>
      <c r="C129" s="305">
        <v>43991</v>
      </c>
      <c r="D129" s="289"/>
      <c r="E129" s="290"/>
      <c r="F129" s="295"/>
      <c r="G129" s="287">
        <f t="shared" si="15"/>
        <v>200</v>
      </c>
      <c r="H129" s="524"/>
      <c r="I129" s="524"/>
      <c r="J129" s="524"/>
      <c r="K129" s="527"/>
      <c r="L129" s="524"/>
    </row>
    <row r="130" spans="1:12" x14ac:dyDescent="0.3">
      <c r="A130" s="260">
        <v>105</v>
      </c>
      <c r="B130" s="262">
        <v>127</v>
      </c>
      <c r="C130" s="305">
        <v>43992</v>
      </c>
      <c r="D130" s="289"/>
      <c r="E130" s="290"/>
      <c r="F130" s="295"/>
      <c r="G130" s="287">
        <f t="shared" si="15"/>
        <v>200</v>
      </c>
      <c r="H130" s="524"/>
      <c r="I130" s="524"/>
      <c r="J130" s="524"/>
      <c r="K130" s="527"/>
      <c r="L130" s="524"/>
    </row>
    <row r="131" spans="1:12" x14ac:dyDescent="0.3">
      <c r="A131" s="260">
        <v>106</v>
      </c>
      <c r="B131" s="262">
        <v>128</v>
      </c>
      <c r="C131" s="305">
        <v>43993</v>
      </c>
      <c r="D131" s="289"/>
      <c r="E131" s="290"/>
      <c r="F131" s="295"/>
      <c r="G131" s="287">
        <f t="shared" si="15"/>
        <v>200</v>
      </c>
      <c r="H131" s="524"/>
      <c r="I131" s="524"/>
      <c r="J131" s="524"/>
      <c r="K131" s="527"/>
      <c r="L131" s="524"/>
    </row>
    <row r="132" spans="1:12" x14ac:dyDescent="0.3">
      <c r="A132" s="279">
        <v>107</v>
      </c>
      <c r="B132" s="262">
        <v>129</v>
      </c>
      <c r="C132" s="305">
        <v>43994</v>
      </c>
      <c r="D132" s="289"/>
      <c r="E132" s="290"/>
      <c r="F132" s="295"/>
      <c r="G132" s="287">
        <f t="shared" si="15"/>
        <v>200</v>
      </c>
      <c r="H132" s="524"/>
      <c r="I132" s="524"/>
      <c r="J132" s="524"/>
      <c r="K132" s="527"/>
      <c r="L132" s="524"/>
    </row>
    <row r="133" spans="1:12" ht="19.5" thickBot="1" x14ac:dyDescent="0.35">
      <c r="A133" s="279">
        <v>108</v>
      </c>
      <c r="B133" s="263">
        <v>130</v>
      </c>
      <c r="C133" s="306">
        <v>43995</v>
      </c>
      <c r="D133" s="292"/>
      <c r="E133" s="293"/>
      <c r="F133" s="296"/>
      <c r="G133" s="287">
        <f t="shared" si="15"/>
        <v>200</v>
      </c>
      <c r="H133" s="525"/>
      <c r="I133" s="525"/>
      <c r="J133" s="525"/>
      <c r="K133" s="528"/>
      <c r="L133" s="525"/>
    </row>
    <row r="134" spans="1:12" x14ac:dyDescent="0.3">
      <c r="A134" s="32"/>
      <c r="B134" s="32"/>
      <c r="C134" s="308"/>
      <c r="D134" s="309"/>
      <c r="E134" s="522" t="s">
        <v>24</v>
      </c>
      <c r="F134" s="522"/>
      <c r="G134" s="310">
        <f>SUM(G4:G133)</f>
        <v>266647.00000000006</v>
      </c>
      <c r="H134" s="310">
        <f>SUM(H4:H133)</f>
        <v>266647</v>
      </c>
      <c r="I134" s="311"/>
      <c r="J134" s="311"/>
      <c r="K134" s="312"/>
      <c r="L134" s="313">
        <f>'App.2(ICU-vent. cap)'!F9</f>
        <v>1512.1744250000002</v>
      </c>
    </row>
  </sheetData>
  <mergeCells count="75">
    <mergeCell ref="L124:L133"/>
    <mergeCell ref="A1:L1"/>
    <mergeCell ref="A2:L2"/>
    <mergeCell ref="F4:F13"/>
    <mergeCell ref="H4:H13"/>
    <mergeCell ref="I4:I13"/>
    <mergeCell ref="J4:J13"/>
    <mergeCell ref="K4:K13"/>
    <mergeCell ref="L4:L13"/>
    <mergeCell ref="L14:L23"/>
    <mergeCell ref="J34:J43"/>
    <mergeCell ref="K34:K43"/>
    <mergeCell ref="L34:L43"/>
    <mergeCell ref="F24:F33"/>
    <mergeCell ref="H24:H33"/>
    <mergeCell ref="I24:I33"/>
    <mergeCell ref="J24:J33"/>
    <mergeCell ref="K24:K33"/>
    <mergeCell ref="L24:L33"/>
    <mergeCell ref="F14:F23"/>
    <mergeCell ref="H14:H23"/>
    <mergeCell ref="I14:I23"/>
    <mergeCell ref="J14:J23"/>
    <mergeCell ref="K14:K23"/>
    <mergeCell ref="L44:L53"/>
    <mergeCell ref="F34:F43"/>
    <mergeCell ref="H34:H43"/>
    <mergeCell ref="I34:I43"/>
    <mergeCell ref="F54:F63"/>
    <mergeCell ref="H54:H63"/>
    <mergeCell ref="I54:I63"/>
    <mergeCell ref="J54:J63"/>
    <mergeCell ref="K54:K63"/>
    <mergeCell ref="L54:L63"/>
    <mergeCell ref="F44:F53"/>
    <mergeCell ref="H44:H53"/>
    <mergeCell ref="I44:I53"/>
    <mergeCell ref="J44:J53"/>
    <mergeCell ref="K44:K53"/>
    <mergeCell ref="F64:F73"/>
    <mergeCell ref="H64:H73"/>
    <mergeCell ref="I64:I73"/>
    <mergeCell ref="J64:J73"/>
    <mergeCell ref="K64:K73"/>
    <mergeCell ref="L64:L73"/>
    <mergeCell ref="H74:H83"/>
    <mergeCell ref="I74:I83"/>
    <mergeCell ref="J74:J83"/>
    <mergeCell ref="K74:K83"/>
    <mergeCell ref="L74:L83"/>
    <mergeCell ref="H84:H93"/>
    <mergeCell ref="I84:I93"/>
    <mergeCell ref="J84:J93"/>
    <mergeCell ref="K84:K93"/>
    <mergeCell ref="L84:L93"/>
    <mergeCell ref="H94:H103"/>
    <mergeCell ref="I94:I103"/>
    <mergeCell ref="J94:J103"/>
    <mergeCell ref="K94:K103"/>
    <mergeCell ref="L94:L103"/>
    <mergeCell ref="L114:L123"/>
    <mergeCell ref="H104:H113"/>
    <mergeCell ref="I104:I113"/>
    <mergeCell ref="J104:J113"/>
    <mergeCell ref="K104:K113"/>
    <mergeCell ref="L104:L113"/>
    <mergeCell ref="E134:F134"/>
    <mergeCell ref="H114:H123"/>
    <mergeCell ref="I114:I123"/>
    <mergeCell ref="J114:J123"/>
    <mergeCell ref="K114:K123"/>
    <mergeCell ref="H124:H133"/>
    <mergeCell ref="I124:I133"/>
    <mergeCell ref="J124:J133"/>
    <mergeCell ref="K124:K133"/>
  </mergeCells>
  <printOptions gridLines="1"/>
  <pageMargins left="0" right="0" top="0" bottom="0" header="0" footer="0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X128"/>
  <sheetViews>
    <sheetView zoomScale="80" zoomScaleNormal="80" workbookViewId="0"/>
  </sheetViews>
  <sheetFormatPr defaultColWidth="8.85546875" defaultRowHeight="18.75" x14ac:dyDescent="0.3"/>
  <cols>
    <col min="1" max="1" width="12.85546875" style="185" customWidth="1"/>
    <col min="2" max="2" width="5" style="185" bestFit="1" customWidth="1"/>
    <col min="3" max="3" width="9.140625" style="184" bestFit="1" customWidth="1"/>
    <col min="4" max="4" width="9.5703125" style="182" customWidth="1"/>
    <col min="5" max="5" width="9.7109375" style="182" customWidth="1"/>
    <col min="6" max="6" width="11.7109375" style="182" customWidth="1"/>
    <col min="7" max="7" width="18" style="182" bestFit="1" customWidth="1"/>
    <col min="8" max="8" width="14" style="182" customWidth="1"/>
    <col min="9" max="9" width="10.28515625" style="182" bestFit="1" customWidth="1"/>
    <col min="10" max="10" width="9.85546875" style="182" customWidth="1"/>
    <col min="11" max="11" width="21.28515625" style="183" customWidth="1"/>
    <col min="12" max="12" width="12.28515625" style="182" bestFit="1" customWidth="1"/>
    <col min="13" max="13" width="8.85546875" style="52"/>
    <col min="14" max="14" width="13.42578125" style="52" customWidth="1"/>
    <col min="15" max="15" width="27.7109375" style="52" customWidth="1"/>
    <col min="16" max="16" width="21.5703125" style="52" customWidth="1"/>
    <col min="17" max="17" width="9.140625" style="31" customWidth="1"/>
    <col min="18" max="18" width="5.7109375" style="31" customWidth="1"/>
    <col min="19" max="19" width="8.85546875" style="31"/>
    <col min="20" max="20" width="9.140625" style="31" customWidth="1"/>
    <col min="21" max="21" width="8.85546875" style="31"/>
    <col min="22" max="24" width="8.85546875" style="2"/>
    <col min="25" max="16384" width="8.85546875" style="3"/>
  </cols>
  <sheetData>
    <row r="4" spans="1:18" ht="19.5" thickBot="1" x14ac:dyDescent="0.35"/>
    <row r="5" spans="1:18" ht="19.5" thickBot="1" x14ac:dyDescent="0.3">
      <c r="A5" s="547" t="s">
        <v>151</v>
      </c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9"/>
      <c r="M5" s="172"/>
      <c r="N5" s="172"/>
      <c r="O5" s="172"/>
      <c r="P5" s="172"/>
      <c r="Q5" s="258"/>
      <c r="R5" s="258"/>
    </row>
    <row r="6" spans="1:18" ht="19.5" thickBot="1" x14ac:dyDescent="0.3">
      <c r="A6" s="550" t="s">
        <v>131</v>
      </c>
      <c r="B6" s="551"/>
      <c r="C6" s="551"/>
      <c r="D6" s="551"/>
      <c r="E6" s="551"/>
      <c r="F6" s="551"/>
      <c r="G6" s="551"/>
      <c r="H6" s="551"/>
      <c r="I6" s="551"/>
      <c r="J6" s="551"/>
      <c r="K6" s="551"/>
      <c r="L6" s="552"/>
      <c r="M6" s="172"/>
      <c r="N6" s="172"/>
      <c r="O6" s="172"/>
      <c r="P6" s="172"/>
      <c r="Q6" s="258"/>
      <c r="R6" s="258"/>
    </row>
    <row r="7" spans="1:18" ht="82.5" customHeight="1" thickBot="1" x14ac:dyDescent="0.3">
      <c r="A7" s="315" t="s">
        <v>139</v>
      </c>
      <c r="B7" s="316" t="s">
        <v>20</v>
      </c>
      <c r="C7" s="317" t="s">
        <v>18</v>
      </c>
      <c r="D7" s="318" t="s">
        <v>40</v>
      </c>
      <c r="E7" s="318" t="s">
        <v>39</v>
      </c>
      <c r="F7" s="318" t="s">
        <v>37</v>
      </c>
      <c r="G7" s="318" t="s">
        <v>38</v>
      </c>
      <c r="H7" s="318" t="s">
        <v>41</v>
      </c>
      <c r="I7" s="319" t="s">
        <v>71</v>
      </c>
      <c r="J7" s="319" t="s">
        <v>43</v>
      </c>
      <c r="K7" s="320" t="s">
        <v>129</v>
      </c>
      <c r="L7" s="318" t="s">
        <v>42</v>
      </c>
      <c r="M7" s="172"/>
      <c r="N7" s="172"/>
      <c r="O7" s="172"/>
      <c r="P7" s="172"/>
      <c r="Q7" s="258"/>
      <c r="R7" s="258"/>
    </row>
    <row r="8" spans="1:18" x14ac:dyDescent="0.3">
      <c r="A8" s="53"/>
      <c r="B8" s="54">
        <v>1</v>
      </c>
      <c r="C8" s="55">
        <v>43876</v>
      </c>
      <c r="D8" s="56">
        <v>16</v>
      </c>
      <c r="E8" s="57">
        <v>16</v>
      </c>
      <c r="F8" s="555">
        <f>SUM(E8:E17)</f>
        <v>16</v>
      </c>
      <c r="G8" s="58">
        <f>F$8/10</f>
        <v>1.6</v>
      </c>
      <c r="H8" s="558">
        <f>SUM(G8:G17)</f>
        <v>15.999999999999998</v>
      </c>
      <c r="I8" s="558">
        <v>9</v>
      </c>
      <c r="J8" s="558">
        <v>0</v>
      </c>
      <c r="K8" s="561" t="s">
        <v>26</v>
      </c>
      <c r="L8" s="558">
        <f>H8*0.05</f>
        <v>0.79999999999999993</v>
      </c>
      <c r="M8" s="172"/>
      <c r="N8" s="172"/>
      <c r="O8" s="172"/>
      <c r="P8" s="172"/>
      <c r="Q8" s="258"/>
      <c r="R8" s="258"/>
    </row>
    <row r="9" spans="1:18" x14ac:dyDescent="0.3">
      <c r="A9" s="53"/>
      <c r="B9" s="59">
        <v>2</v>
      </c>
      <c r="C9" s="60">
        <v>43877</v>
      </c>
      <c r="D9" s="61">
        <v>16</v>
      </c>
      <c r="E9" s="62">
        <f>D9-D8</f>
        <v>0</v>
      </c>
      <c r="F9" s="556"/>
      <c r="G9" s="58">
        <f t="shared" ref="G9:G17" si="0">F$8/10</f>
        <v>1.6</v>
      </c>
      <c r="H9" s="559"/>
      <c r="I9" s="559"/>
      <c r="J9" s="559"/>
      <c r="K9" s="562"/>
      <c r="L9" s="559"/>
      <c r="M9" s="172"/>
      <c r="N9" s="172"/>
      <c r="O9" s="172"/>
      <c r="P9" s="172"/>
      <c r="Q9" s="258"/>
      <c r="R9" s="258"/>
    </row>
    <row r="10" spans="1:18" x14ac:dyDescent="0.3">
      <c r="A10" s="53"/>
      <c r="B10" s="59">
        <v>3</v>
      </c>
      <c r="C10" s="60">
        <v>43878</v>
      </c>
      <c r="D10" s="61">
        <v>16</v>
      </c>
      <c r="E10" s="62">
        <f t="shared" ref="E10:E57" si="1">D10-D9</f>
        <v>0</v>
      </c>
      <c r="F10" s="556"/>
      <c r="G10" s="58">
        <f t="shared" si="0"/>
        <v>1.6</v>
      </c>
      <c r="H10" s="559"/>
      <c r="I10" s="559"/>
      <c r="J10" s="559"/>
      <c r="K10" s="562"/>
      <c r="L10" s="559"/>
      <c r="M10" s="172"/>
      <c r="N10" s="172"/>
      <c r="O10" s="172"/>
      <c r="P10" s="172"/>
      <c r="Q10" s="258"/>
      <c r="R10" s="258"/>
    </row>
    <row r="11" spans="1:18" x14ac:dyDescent="0.3">
      <c r="A11" s="53"/>
      <c r="B11" s="59">
        <v>4</v>
      </c>
      <c r="C11" s="60">
        <v>43879</v>
      </c>
      <c r="D11" s="61">
        <v>16</v>
      </c>
      <c r="E11" s="62">
        <f t="shared" si="1"/>
        <v>0</v>
      </c>
      <c r="F11" s="556"/>
      <c r="G11" s="58">
        <f t="shared" si="0"/>
        <v>1.6</v>
      </c>
      <c r="H11" s="559"/>
      <c r="I11" s="559"/>
      <c r="J11" s="559"/>
      <c r="K11" s="562"/>
      <c r="L11" s="559"/>
      <c r="M11" s="172"/>
      <c r="N11" s="172"/>
      <c r="O11" s="172"/>
      <c r="P11" s="172"/>
      <c r="Q11" s="258"/>
      <c r="R11" s="258"/>
    </row>
    <row r="12" spans="1:18" x14ac:dyDescent="0.3">
      <c r="A12" s="53"/>
      <c r="B12" s="59">
        <v>5</v>
      </c>
      <c r="C12" s="60">
        <v>43880</v>
      </c>
      <c r="D12" s="63">
        <v>16</v>
      </c>
      <c r="E12" s="62">
        <f t="shared" si="1"/>
        <v>0</v>
      </c>
      <c r="F12" s="556"/>
      <c r="G12" s="58">
        <f t="shared" si="0"/>
        <v>1.6</v>
      </c>
      <c r="H12" s="559"/>
      <c r="I12" s="559"/>
      <c r="J12" s="559"/>
      <c r="K12" s="562"/>
      <c r="L12" s="559"/>
      <c r="M12" s="172"/>
      <c r="N12" s="172"/>
      <c r="O12" s="172"/>
      <c r="P12" s="172"/>
      <c r="Q12" s="258"/>
      <c r="R12" s="258"/>
    </row>
    <row r="13" spans="1:18" x14ac:dyDescent="0.3">
      <c r="A13" s="53"/>
      <c r="B13" s="59">
        <v>6</v>
      </c>
      <c r="C13" s="60">
        <v>43881</v>
      </c>
      <c r="D13" s="61">
        <v>16</v>
      </c>
      <c r="E13" s="62">
        <f t="shared" si="1"/>
        <v>0</v>
      </c>
      <c r="F13" s="556"/>
      <c r="G13" s="58">
        <f t="shared" si="0"/>
        <v>1.6</v>
      </c>
      <c r="H13" s="559"/>
      <c r="I13" s="559"/>
      <c r="J13" s="559"/>
      <c r="K13" s="562"/>
      <c r="L13" s="559"/>
      <c r="M13" s="172"/>
      <c r="N13" s="172"/>
      <c r="O13" s="172"/>
      <c r="P13" s="172"/>
      <c r="Q13" s="258"/>
      <c r="R13" s="258"/>
    </row>
    <row r="14" spans="1:18" x14ac:dyDescent="0.3">
      <c r="A14" s="53"/>
      <c r="B14" s="59">
        <v>7</v>
      </c>
      <c r="C14" s="60">
        <v>43882</v>
      </c>
      <c r="D14" s="61">
        <v>16</v>
      </c>
      <c r="E14" s="62">
        <f t="shared" si="1"/>
        <v>0</v>
      </c>
      <c r="F14" s="556"/>
      <c r="G14" s="58">
        <f t="shared" si="0"/>
        <v>1.6</v>
      </c>
      <c r="H14" s="559"/>
      <c r="I14" s="559"/>
      <c r="J14" s="559"/>
      <c r="K14" s="562"/>
      <c r="L14" s="559"/>
      <c r="M14" s="172"/>
      <c r="N14" s="172"/>
      <c r="O14" s="172"/>
      <c r="P14" s="172"/>
      <c r="Q14" s="258"/>
      <c r="R14" s="258"/>
    </row>
    <row r="15" spans="1:18" x14ac:dyDescent="0.3">
      <c r="A15" s="53"/>
      <c r="B15" s="59">
        <v>8</v>
      </c>
      <c r="C15" s="60">
        <v>43883</v>
      </c>
      <c r="D15" s="61">
        <v>16</v>
      </c>
      <c r="E15" s="62">
        <f t="shared" si="1"/>
        <v>0</v>
      </c>
      <c r="F15" s="556"/>
      <c r="G15" s="58">
        <f t="shared" si="0"/>
        <v>1.6</v>
      </c>
      <c r="H15" s="559"/>
      <c r="I15" s="559"/>
      <c r="J15" s="559"/>
      <c r="K15" s="562"/>
      <c r="L15" s="559"/>
      <c r="M15" s="172"/>
      <c r="N15" s="172"/>
      <c r="O15" s="172"/>
      <c r="P15" s="172"/>
      <c r="Q15" s="258"/>
      <c r="R15" s="258"/>
    </row>
    <row r="16" spans="1:18" x14ac:dyDescent="0.3">
      <c r="A16" s="53"/>
      <c r="B16" s="59">
        <v>9</v>
      </c>
      <c r="C16" s="60">
        <v>43884</v>
      </c>
      <c r="D16" s="61">
        <v>16</v>
      </c>
      <c r="E16" s="62">
        <f t="shared" si="1"/>
        <v>0</v>
      </c>
      <c r="F16" s="556"/>
      <c r="G16" s="58">
        <f t="shared" si="0"/>
        <v>1.6</v>
      </c>
      <c r="H16" s="559"/>
      <c r="I16" s="559"/>
      <c r="J16" s="559"/>
      <c r="K16" s="562"/>
      <c r="L16" s="559"/>
      <c r="M16" s="172"/>
      <c r="N16" s="172"/>
      <c r="O16" s="172"/>
      <c r="P16" s="172"/>
      <c r="Q16" s="258"/>
      <c r="R16" s="258"/>
    </row>
    <row r="17" spans="1:24" ht="19.5" thickBot="1" x14ac:dyDescent="0.35">
      <c r="A17" s="53"/>
      <c r="B17" s="64">
        <v>10</v>
      </c>
      <c r="C17" s="65">
        <v>43885</v>
      </c>
      <c r="D17" s="66">
        <v>16</v>
      </c>
      <c r="E17" s="67">
        <f t="shared" si="1"/>
        <v>0</v>
      </c>
      <c r="F17" s="557"/>
      <c r="G17" s="58">
        <f t="shared" si="0"/>
        <v>1.6</v>
      </c>
      <c r="H17" s="560"/>
      <c r="I17" s="560"/>
      <c r="J17" s="560"/>
      <c r="K17" s="563"/>
      <c r="L17" s="560"/>
      <c r="M17" s="172"/>
      <c r="N17" s="172"/>
      <c r="O17" s="172"/>
      <c r="P17" s="172"/>
      <c r="Q17" s="258"/>
      <c r="R17" s="258"/>
    </row>
    <row r="18" spans="1:24" x14ac:dyDescent="0.3">
      <c r="A18" s="53"/>
      <c r="B18" s="54">
        <v>11</v>
      </c>
      <c r="C18" s="55">
        <v>43886</v>
      </c>
      <c r="D18" s="56">
        <v>18</v>
      </c>
      <c r="E18" s="57">
        <f t="shared" si="1"/>
        <v>2</v>
      </c>
      <c r="F18" s="555">
        <f>SUM(E18:E27)</f>
        <v>529</v>
      </c>
      <c r="G18" s="58">
        <f>F$18/10</f>
        <v>52.9</v>
      </c>
      <c r="H18" s="558">
        <f>SUM(G18:G27)</f>
        <v>528.99999999999989</v>
      </c>
      <c r="I18" s="558">
        <v>3</v>
      </c>
      <c r="J18" s="558">
        <v>0</v>
      </c>
      <c r="K18" s="564">
        <f>H18/(H8-I8-J8)</f>
        <v>75.571428571428569</v>
      </c>
      <c r="L18" s="558">
        <f>H18*0.05</f>
        <v>26.449999999999996</v>
      </c>
      <c r="M18" s="172"/>
      <c r="N18" s="172"/>
      <c r="O18" s="172"/>
      <c r="P18" s="172"/>
      <c r="Q18" s="258"/>
      <c r="R18" s="258"/>
    </row>
    <row r="19" spans="1:24" x14ac:dyDescent="0.3">
      <c r="A19" s="53"/>
      <c r="B19" s="59">
        <v>12</v>
      </c>
      <c r="C19" s="60">
        <v>43887</v>
      </c>
      <c r="D19" s="61">
        <v>26</v>
      </c>
      <c r="E19" s="62">
        <f t="shared" si="1"/>
        <v>8</v>
      </c>
      <c r="F19" s="556"/>
      <c r="G19" s="58">
        <f t="shared" ref="G19:G27" si="2">F$18/10</f>
        <v>52.9</v>
      </c>
      <c r="H19" s="559"/>
      <c r="I19" s="559"/>
      <c r="J19" s="559"/>
      <c r="K19" s="565"/>
      <c r="L19" s="559"/>
      <c r="M19" s="172"/>
      <c r="N19" s="172"/>
      <c r="O19" s="172"/>
      <c r="P19" s="172"/>
      <c r="Q19" s="258"/>
      <c r="R19" s="258"/>
    </row>
    <row r="20" spans="1:24" x14ac:dyDescent="0.3">
      <c r="A20" s="53"/>
      <c r="B20" s="59">
        <v>13</v>
      </c>
      <c r="C20" s="60">
        <v>43888</v>
      </c>
      <c r="D20" s="61">
        <v>48</v>
      </c>
      <c r="E20" s="62">
        <f t="shared" si="1"/>
        <v>22</v>
      </c>
      <c r="F20" s="556"/>
      <c r="G20" s="58">
        <f t="shared" si="2"/>
        <v>52.9</v>
      </c>
      <c r="H20" s="559"/>
      <c r="I20" s="559"/>
      <c r="J20" s="559"/>
      <c r="K20" s="565"/>
      <c r="L20" s="559"/>
      <c r="M20" s="172"/>
      <c r="N20" s="172"/>
      <c r="O20" s="172"/>
      <c r="P20" s="172"/>
      <c r="Q20" s="258"/>
      <c r="R20" s="258"/>
    </row>
    <row r="21" spans="1:24" s="52" customFormat="1" x14ac:dyDescent="0.3">
      <c r="A21" s="53"/>
      <c r="B21" s="59">
        <v>14</v>
      </c>
      <c r="C21" s="60">
        <v>43889</v>
      </c>
      <c r="D21" s="61">
        <v>74</v>
      </c>
      <c r="E21" s="62">
        <f t="shared" si="1"/>
        <v>26</v>
      </c>
      <c r="F21" s="556"/>
      <c r="G21" s="58">
        <f t="shared" si="2"/>
        <v>52.9</v>
      </c>
      <c r="H21" s="559"/>
      <c r="I21" s="559"/>
      <c r="J21" s="559"/>
      <c r="K21" s="565"/>
      <c r="L21" s="559"/>
      <c r="M21" s="172"/>
      <c r="N21" s="172"/>
      <c r="O21" s="172"/>
      <c r="P21" s="172"/>
      <c r="Q21" s="258"/>
      <c r="R21" s="258"/>
      <c r="S21" s="31"/>
      <c r="T21" s="31"/>
      <c r="U21" s="31"/>
      <c r="V21" s="2"/>
      <c r="W21" s="2"/>
      <c r="X21" s="2"/>
    </row>
    <row r="22" spans="1:24" s="52" customFormat="1" x14ac:dyDescent="0.3">
      <c r="A22" s="53"/>
      <c r="B22" s="59">
        <v>15</v>
      </c>
      <c r="C22" s="60">
        <v>43890</v>
      </c>
      <c r="D22" s="61">
        <v>79</v>
      </c>
      <c r="E22" s="62">
        <f t="shared" si="1"/>
        <v>5</v>
      </c>
      <c r="F22" s="556"/>
      <c r="G22" s="58">
        <f t="shared" si="2"/>
        <v>52.9</v>
      </c>
      <c r="H22" s="559"/>
      <c r="I22" s="559"/>
      <c r="J22" s="559"/>
      <c r="K22" s="565"/>
      <c r="L22" s="559"/>
      <c r="M22" s="172"/>
      <c r="N22" s="172"/>
      <c r="O22" s="172"/>
      <c r="P22" s="172"/>
      <c r="Q22" s="258"/>
      <c r="R22" s="258"/>
      <c r="S22" s="31"/>
      <c r="T22" s="31"/>
      <c r="U22" s="31"/>
      <c r="V22" s="2"/>
      <c r="W22" s="2"/>
      <c r="X22" s="2"/>
    </row>
    <row r="23" spans="1:24" s="52" customFormat="1" x14ac:dyDescent="0.3">
      <c r="A23" s="53"/>
      <c r="B23" s="59">
        <v>16</v>
      </c>
      <c r="C23" s="60">
        <v>43891</v>
      </c>
      <c r="D23" s="61">
        <v>130</v>
      </c>
      <c r="E23" s="62">
        <f t="shared" si="1"/>
        <v>51</v>
      </c>
      <c r="F23" s="556"/>
      <c r="G23" s="58">
        <f t="shared" si="2"/>
        <v>52.9</v>
      </c>
      <c r="H23" s="559"/>
      <c r="I23" s="559"/>
      <c r="J23" s="559"/>
      <c r="K23" s="565"/>
      <c r="L23" s="559"/>
      <c r="M23" s="172"/>
      <c r="N23" s="172"/>
      <c r="O23" s="172"/>
      <c r="P23" s="172"/>
      <c r="Q23" s="258"/>
      <c r="R23" s="258"/>
      <c r="S23" s="31"/>
      <c r="T23" s="31"/>
      <c r="U23" s="31"/>
      <c r="V23" s="2"/>
      <c r="W23" s="2"/>
      <c r="X23" s="2"/>
    </row>
    <row r="24" spans="1:24" s="52" customFormat="1" x14ac:dyDescent="0.3">
      <c r="A24" s="53"/>
      <c r="B24" s="59">
        <v>17</v>
      </c>
      <c r="C24" s="60">
        <v>43892</v>
      </c>
      <c r="D24" s="61">
        <v>165</v>
      </c>
      <c r="E24" s="62">
        <f t="shared" si="1"/>
        <v>35</v>
      </c>
      <c r="F24" s="556"/>
      <c r="G24" s="58">
        <f t="shared" si="2"/>
        <v>52.9</v>
      </c>
      <c r="H24" s="559"/>
      <c r="I24" s="559"/>
      <c r="J24" s="559"/>
      <c r="K24" s="565"/>
      <c r="L24" s="559"/>
      <c r="M24" s="172"/>
      <c r="N24" s="172"/>
      <c r="O24" s="172"/>
      <c r="P24" s="172"/>
      <c r="Q24" s="258"/>
      <c r="R24" s="258"/>
      <c r="S24" s="31"/>
      <c r="T24" s="31"/>
      <c r="U24" s="31"/>
      <c r="V24" s="2"/>
      <c r="W24" s="2"/>
      <c r="X24" s="2"/>
    </row>
    <row r="25" spans="1:24" s="52" customFormat="1" x14ac:dyDescent="0.3">
      <c r="A25" s="53"/>
      <c r="B25" s="59">
        <v>18</v>
      </c>
      <c r="C25" s="60">
        <v>43893</v>
      </c>
      <c r="D25" s="61">
        <v>203</v>
      </c>
      <c r="E25" s="62">
        <f t="shared" si="1"/>
        <v>38</v>
      </c>
      <c r="F25" s="556"/>
      <c r="G25" s="58">
        <f t="shared" si="2"/>
        <v>52.9</v>
      </c>
      <c r="H25" s="559"/>
      <c r="I25" s="559"/>
      <c r="J25" s="559"/>
      <c r="K25" s="565"/>
      <c r="L25" s="559"/>
      <c r="M25" s="172"/>
      <c r="N25" s="172"/>
      <c r="O25" s="172"/>
      <c r="P25" s="172"/>
      <c r="Q25" s="258"/>
      <c r="R25" s="258"/>
      <c r="S25" s="31"/>
      <c r="T25" s="31"/>
      <c r="U25" s="31"/>
      <c r="V25" s="2"/>
      <c r="W25" s="2"/>
      <c r="X25" s="2"/>
    </row>
    <row r="26" spans="1:24" s="52" customFormat="1" x14ac:dyDescent="0.3">
      <c r="A26" s="53"/>
      <c r="B26" s="59">
        <v>19</v>
      </c>
      <c r="C26" s="60">
        <v>43894</v>
      </c>
      <c r="D26" s="61">
        <v>262</v>
      </c>
      <c r="E26" s="62">
        <f t="shared" si="1"/>
        <v>59</v>
      </c>
      <c r="F26" s="556"/>
      <c r="G26" s="58">
        <f t="shared" si="2"/>
        <v>52.9</v>
      </c>
      <c r="H26" s="559"/>
      <c r="I26" s="559"/>
      <c r="J26" s="559"/>
      <c r="K26" s="565"/>
      <c r="L26" s="559"/>
      <c r="M26" s="172"/>
      <c r="N26" s="172"/>
      <c r="O26" s="172"/>
      <c r="P26" s="172"/>
      <c r="Q26" s="258"/>
      <c r="R26" s="258"/>
      <c r="S26" s="31"/>
      <c r="T26" s="31"/>
      <c r="U26" s="31"/>
      <c r="V26" s="2"/>
      <c r="W26" s="2"/>
      <c r="X26" s="2"/>
    </row>
    <row r="27" spans="1:24" s="52" customFormat="1" ht="19.5" thickBot="1" x14ac:dyDescent="0.35">
      <c r="A27" s="53"/>
      <c r="B27" s="64">
        <v>20</v>
      </c>
      <c r="C27" s="65">
        <v>43895</v>
      </c>
      <c r="D27" s="66">
        <v>545</v>
      </c>
      <c r="E27" s="67">
        <f t="shared" si="1"/>
        <v>283</v>
      </c>
      <c r="F27" s="557"/>
      <c r="G27" s="58">
        <f t="shared" si="2"/>
        <v>52.9</v>
      </c>
      <c r="H27" s="560"/>
      <c r="I27" s="560"/>
      <c r="J27" s="560"/>
      <c r="K27" s="566"/>
      <c r="L27" s="560"/>
      <c r="M27" s="172"/>
      <c r="N27" s="172"/>
      <c r="O27" s="172"/>
      <c r="P27" s="172"/>
      <c r="Q27" s="258"/>
      <c r="R27" s="258"/>
      <c r="S27" s="31"/>
      <c r="T27" s="31"/>
      <c r="U27" s="31"/>
      <c r="V27" s="2"/>
      <c r="W27" s="2"/>
      <c r="X27" s="2"/>
    </row>
    <row r="28" spans="1:24" s="52" customFormat="1" x14ac:dyDescent="0.3">
      <c r="A28" s="53"/>
      <c r="B28" s="54">
        <v>21</v>
      </c>
      <c r="C28" s="55">
        <v>43896</v>
      </c>
      <c r="D28" s="56">
        <v>670</v>
      </c>
      <c r="E28" s="57">
        <f t="shared" si="1"/>
        <v>125</v>
      </c>
      <c r="F28" s="555">
        <f>SUM(E28:E37)</f>
        <v>5268</v>
      </c>
      <c r="G28" s="58">
        <f>F$28/16</f>
        <v>329.25</v>
      </c>
      <c r="H28" s="558">
        <f>SUM(G28:G37)</f>
        <v>3292.5</v>
      </c>
      <c r="I28" s="558">
        <v>29</v>
      </c>
      <c r="J28" s="558">
        <v>13</v>
      </c>
      <c r="K28" s="564">
        <f>H28/SUM(H18+H8-I18-I8-J18-J8)</f>
        <v>6.1772983114446545</v>
      </c>
      <c r="L28" s="558">
        <f>H28*0.05</f>
        <v>164.625</v>
      </c>
      <c r="M28" s="172"/>
      <c r="N28" s="172"/>
      <c r="O28" s="172"/>
      <c r="P28" s="172"/>
      <c r="Q28" s="258"/>
      <c r="R28" s="258"/>
      <c r="S28" s="31"/>
      <c r="T28" s="31"/>
      <c r="U28" s="31"/>
      <c r="V28" s="2"/>
      <c r="W28" s="2"/>
      <c r="X28" s="2"/>
    </row>
    <row r="29" spans="1:24" s="52" customFormat="1" x14ac:dyDescent="0.3">
      <c r="A29" s="53"/>
      <c r="B29" s="59">
        <v>22</v>
      </c>
      <c r="C29" s="60">
        <v>43897</v>
      </c>
      <c r="D29" s="61">
        <v>800</v>
      </c>
      <c r="E29" s="62">
        <f t="shared" si="1"/>
        <v>130</v>
      </c>
      <c r="F29" s="556"/>
      <c r="G29" s="58">
        <f t="shared" ref="G29:G37" si="3">F$28/16</f>
        <v>329.25</v>
      </c>
      <c r="H29" s="559"/>
      <c r="I29" s="559"/>
      <c r="J29" s="559"/>
      <c r="K29" s="565"/>
      <c r="L29" s="559"/>
      <c r="M29" s="172"/>
      <c r="N29" s="172"/>
      <c r="O29" s="172"/>
      <c r="P29" s="172"/>
      <c r="Q29" s="258"/>
      <c r="R29" s="258"/>
      <c r="S29" s="31"/>
      <c r="T29" s="31"/>
      <c r="U29" s="31"/>
      <c r="V29" s="2"/>
      <c r="W29" s="2"/>
      <c r="X29" s="2"/>
    </row>
    <row r="30" spans="1:24" s="52" customFormat="1" ht="23.25" customHeight="1" x14ac:dyDescent="0.3">
      <c r="A30" s="53"/>
      <c r="B30" s="59">
        <v>23</v>
      </c>
      <c r="C30" s="60">
        <v>43898</v>
      </c>
      <c r="D30" s="61">
        <v>1040</v>
      </c>
      <c r="E30" s="62">
        <f t="shared" si="1"/>
        <v>240</v>
      </c>
      <c r="F30" s="556"/>
      <c r="G30" s="58">
        <f t="shared" si="3"/>
        <v>329.25</v>
      </c>
      <c r="H30" s="559"/>
      <c r="I30" s="559"/>
      <c r="J30" s="559"/>
      <c r="K30" s="565"/>
      <c r="L30" s="559"/>
      <c r="M30" s="172"/>
      <c r="N30" s="172"/>
      <c r="O30" s="172"/>
      <c r="P30" s="172"/>
      <c r="Q30" s="258"/>
      <c r="R30" s="258"/>
      <c r="S30" s="31"/>
      <c r="T30" s="31"/>
      <c r="U30" s="31"/>
      <c r="V30" s="2"/>
      <c r="W30" s="2"/>
      <c r="X30" s="2"/>
    </row>
    <row r="31" spans="1:24" s="52" customFormat="1" x14ac:dyDescent="0.3">
      <c r="A31" s="53"/>
      <c r="B31" s="59">
        <v>24</v>
      </c>
      <c r="C31" s="60">
        <v>43899</v>
      </c>
      <c r="D31" s="78">
        <v>1224</v>
      </c>
      <c r="E31" s="62">
        <f t="shared" si="1"/>
        <v>184</v>
      </c>
      <c r="F31" s="556"/>
      <c r="G31" s="58">
        <f t="shared" si="3"/>
        <v>329.25</v>
      </c>
      <c r="H31" s="559"/>
      <c r="I31" s="559"/>
      <c r="J31" s="559"/>
      <c r="K31" s="565"/>
      <c r="L31" s="559"/>
      <c r="M31" s="172"/>
      <c r="N31" s="172"/>
      <c r="O31" s="172"/>
      <c r="P31" s="172"/>
      <c r="Q31" s="258"/>
      <c r="R31" s="258"/>
      <c r="S31" s="31"/>
      <c r="T31" s="31"/>
      <c r="U31" s="31"/>
      <c r="V31" s="2"/>
      <c r="W31" s="2"/>
      <c r="X31" s="2"/>
    </row>
    <row r="32" spans="1:24" s="52" customFormat="1" x14ac:dyDescent="0.3">
      <c r="A32" s="53"/>
      <c r="B32" s="59">
        <v>25</v>
      </c>
      <c r="C32" s="60">
        <v>43900</v>
      </c>
      <c r="D32" s="78">
        <v>1565</v>
      </c>
      <c r="E32" s="62">
        <f t="shared" si="1"/>
        <v>341</v>
      </c>
      <c r="F32" s="556"/>
      <c r="G32" s="58">
        <f t="shared" si="3"/>
        <v>329.25</v>
      </c>
      <c r="H32" s="559"/>
      <c r="I32" s="559"/>
      <c r="J32" s="559"/>
      <c r="K32" s="565"/>
      <c r="L32" s="559"/>
      <c r="M32" s="172"/>
      <c r="N32" s="172"/>
      <c r="O32" s="172"/>
      <c r="P32" s="172"/>
      <c r="Q32" s="258"/>
      <c r="R32" s="258"/>
      <c r="S32" s="31"/>
      <c r="T32" s="31"/>
      <c r="U32" s="31"/>
      <c r="V32" s="2"/>
      <c r="W32" s="2"/>
      <c r="X32" s="2"/>
    </row>
    <row r="33" spans="1:24" s="52" customFormat="1" x14ac:dyDescent="0.3">
      <c r="A33" s="53"/>
      <c r="B33" s="59">
        <v>26</v>
      </c>
      <c r="C33" s="60">
        <v>43901</v>
      </c>
      <c r="D33" s="78">
        <v>1966</v>
      </c>
      <c r="E33" s="62">
        <f t="shared" si="1"/>
        <v>401</v>
      </c>
      <c r="F33" s="556"/>
      <c r="G33" s="58">
        <f t="shared" si="3"/>
        <v>329.25</v>
      </c>
      <c r="H33" s="559"/>
      <c r="I33" s="559"/>
      <c r="J33" s="559"/>
      <c r="K33" s="565"/>
      <c r="L33" s="559"/>
      <c r="M33" s="172"/>
      <c r="N33" s="172"/>
      <c r="O33" s="172"/>
      <c r="P33" s="172"/>
      <c r="Q33" s="258"/>
      <c r="R33" s="258"/>
      <c r="S33" s="31"/>
      <c r="T33" s="31"/>
      <c r="U33" s="31"/>
      <c r="V33" s="2"/>
      <c r="W33" s="2"/>
      <c r="X33" s="2"/>
    </row>
    <row r="34" spans="1:24" s="52" customFormat="1" x14ac:dyDescent="0.3">
      <c r="A34" s="148"/>
      <c r="B34" s="80">
        <v>27</v>
      </c>
      <c r="C34" s="83">
        <v>43902</v>
      </c>
      <c r="D34" s="78">
        <v>2745</v>
      </c>
      <c r="E34" s="62">
        <f t="shared" si="1"/>
        <v>779</v>
      </c>
      <c r="F34" s="556"/>
      <c r="G34" s="58">
        <f t="shared" si="3"/>
        <v>329.25</v>
      </c>
      <c r="H34" s="559"/>
      <c r="I34" s="559"/>
      <c r="J34" s="559"/>
      <c r="K34" s="565"/>
      <c r="L34" s="559"/>
      <c r="M34" s="172"/>
      <c r="N34" s="172"/>
      <c r="O34" s="172"/>
      <c r="P34" s="172"/>
      <c r="Q34" s="258"/>
      <c r="R34" s="258"/>
      <c r="S34" s="31"/>
      <c r="T34" s="31"/>
      <c r="U34" s="31"/>
      <c r="V34" s="2"/>
      <c r="W34" s="2"/>
      <c r="X34" s="2"/>
    </row>
    <row r="35" spans="1:24" s="52" customFormat="1" x14ac:dyDescent="0.3">
      <c r="A35" s="53"/>
      <c r="B35" s="80">
        <v>28</v>
      </c>
      <c r="C35" s="83">
        <v>43903</v>
      </c>
      <c r="D35" s="78">
        <v>3675</v>
      </c>
      <c r="E35" s="62">
        <f t="shared" si="1"/>
        <v>930</v>
      </c>
      <c r="F35" s="556"/>
      <c r="G35" s="58">
        <f t="shared" si="3"/>
        <v>329.25</v>
      </c>
      <c r="H35" s="559"/>
      <c r="I35" s="559"/>
      <c r="J35" s="559"/>
      <c r="K35" s="565"/>
      <c r="L35" s="559"/>
      <c r="M35" s="172"/>
      <c r="N35" s="172"/>
      <c r="O35" s="172"/>
      <c r="P35" s="172"/>
      <c r="Q35" s="258"/>
      <c r="R35" s="258"/>
      <c r="S35" s="31"/>
      <c r="T35" s="31"/>
      <c r="U35" s="31"/>
      <c r="V35" s="2"/>
      <c r="W35" s="2"/>
      <c r="X35" s="2"/>
    </row>
    <row r="36" spans="1:24" s="52" customFormat="1" x14ac:dyDescent="0.3">
      <c r="A36" s="53"/>
      <c r="B36" s="59">
        <v>29</v>
      </c>
      <c r="C36" s="60">
        <v>43904</v>
      </c>
      <c r="D36" s="78">
        <v>4599</v>
      </c>
      <c r="E36" s="62">
        <f t="shared" si="1"/>
        <v>924</v>
      </c>
      <c r="F36" s="556"/>
      <c r="G36" s="58">
        <f t="shared" si="3"/>
        <v>329.25</v>
      </c>
      <c r="H36" s="559"/>
      <c r="I36" s="559"/>
      <c r="J36" s="559"/>
      <c r="K36" s="565"/>
      <c r="L36" s="559"/>
      <c r="M36" s="172"/>
      <c r="N36" s="172"/>
      <c r="O36" s="172"/>
      <c r="P36" s="172"/>
      <c r="Q36" s="258"/>
      <c r="R36" s="258"/>
      <c r="S36" s="31"/>
      <c r="T36" s="31"/>
      <c r="U36" s="31"/>
      <c r="V36" s="2"/>
      <c r="W36" s="2"/>
      <c r="X36" s="2"/>
    </row>
    <row r="37" spans="1:24" s="31" customFormat="1" ht="19.5" thickBot="1" x14ac:dyDescent="0.35">
      <c r="A37" s="53"/>
      <c r="B37" s="64">
        <v>30</v>
      </c>
      <c r="C37" s="68">
        <v>43905</v>
      </c>
      <c r="D37" s="79">
        <v>5813</v>
      </c>
      <c r="E37" s="67">
        <f t="shared" si="1"/>
        <v>1214</v>
      </c>
      <c r="F37" s="557"/>
      <c r="G37" s="58">
        <f t="shared" si="3"/>
        <v>329.25</v>
      </c>
      <c r="H37" s="560"/>
      <c r="I37" s="560"/>
      <c r="J37" s="560"/>
      <c r="K37" s="566"/>
      <c r="L37" s="560"/>
      <c r="M37" s="172"/>
      <c r="N37" s="172"/>
      <c r="O37" s="172"/>
      <c r="P37" s="172"/>
      <c r="Q37" s="258"/>
      <c r="R37" s="258"/>
      <c r="V37" s="2"/>
      <c r="W37" s="2"/>
      <c r="X37" s="2"/>
    </row>
    <row r="38" spans="1:24" s="31" customFormat="1" x14ac:dyDescent="0.3">
      <c r="A38" s="141">
        <v>1</v>
      </c>
      <c r="B38" s="69">
        <v>31</v>
      </c>
      <c r="C38" s="142">
        <v>43906</v>
      </c>
      <c r="D38" s="71">
        <v>7272</v>
      </c>
      <c r="E38" s="57">
        <f t="shared" si="1"/>
        <v>1459</v>
      </c>
      <c r="F38" s="555">
        <f>SUM(E38:E47)</f>
        <v>31510</v>
      </c>
      <c r="G38" s="58">
        <f>F$38/10</f>
        <v>3151</v>
      </c>
      <c r="H38" s="558">
        <f>SUM(G38:G47)</f>
        <v>31510</v>
      </c>
      <c r="I38" s="558">
        <v>3501</v>
      </c>
      <c r="J38" s="558">
        <v>193</v>
      </c>
      <c r="K38" s="564">
        <f>H38/SUM(H28+H18+H8-I28-I18-I8-J28-J18-J8)</f>
        <v>8.3282674772036476</v>
      </c>
      <c r="L38" s="558">
        <f>H38*0.05</f>
        <v>1575.5</v>
      </c>
      <c r="M38" s="172"/>
      <c r="N38" s="172"/>
      <c r="O38" s="172"/>
      <c r="P38" s="172"/>
      <c r="Q38" s="258"/>
      <c r="R38" s="258"/>
      <c r="V38" s="2"/>
      <c r="W38" s="2"/>
      <c r="X38" s="2"/>
    </row>
    <row r="39" spans="1:24" s="31" customFormat="1" ht="19.5" thickBot="1" x14ac:dyDescent="0.35">
      <c r="A39" s="53">
        <v>2</v>
      </c>
      <c r="B39" s="72">
        <v>32</v>
      </c>
      <c r="C39" s="73">
        <v>43907</v>
      </c>
      <c r="D39" s="74">
        <v>9367</v>
      </c>
      <c r="E39" s="62">
        <f t="shared" si="1"/>
        <v>2095</v>
      </c>
      <c r="F39" s="556"/>
      <c r="G39" s="58">
        <f t="shared" ref="G39:G47" si="4">F$38/10</f>
        <v>3151</v>
      </c>
      <c r="H39" s="559"/>
      <c r="I39" s="559"/>
      <c r="J39" s="559"/>
      <c r="K39" s="565"/>
      <c r="L39" s="559"/>
      <c r="M39" s="172"/>
      <c r="N39" s="172"/>
      <c r="O39" s="172"/>
      <c r="P39" s="172"/>
      <c r="Q39" s="258"/>
      <c r="R39" s="258"/>
      <c r="V39" s="2"/>
      <c r="W39" s="2"/>
      <c r="X39" s="2"/>
    </row>
    <row r="40" spans="1:24" s="31" customFormat="1" x14ac:dyDescent="0.3">
      <c r="A40" s="53">
        <v>3</v>
      </c>
      <c r="B40" s="72">
        <v>33</v>
      </c>
      <c r="C40" s="75">
        <v>43908</v>
      </c>
      <c r="D40" s="74">
        <v>12327</v>
      </c>
      <c r="E40" s="62">
        <f t="shared" si="1"/>
        <v>2960</v>
      </c>
      <c r="F40" s="556"/>
      <c r="G40" s="58">
        <f t="shared" si="4"/>
        <v>3151</v>
      </c>
      <c r="H40" s="559"/>
      <c r="I40" s="559"/>
      <c r="J40" s="559"/>
      <c r="K40" s="565"/>
      <c r="L40" s="567"/>
      <c r="M40" s="360"/>
      <c r="N40" s="360"/>
      <c r="O40" s="360"/>
      <c r="P40" s="360"/>
      <c r="Q40" s="360"/>
      <c r="R40" s="360"/>
      <c r="V40" s="2"/>
      <c r="W40" s="2"/>
      <c r="X40" s="2"/>
    </row>
    <row r="41" spans="1:24" s="31" customFormat="1" ht="19.5" thickBot="1" x14ac:dyDescent="0.35">
      <c r="A41" s="53">
        <v>4</v>
      </c>
      <c r="B41" s="72">
        <v>34</v>
      </c>
      <c r="C41" s="73">
        <v>43909</v>
      </c>
      <c r="D41" s="74">
        <v>15320</v>
      </c>
      <c r="E41" s="62">
        <f t="shared" si="1"/>
        <v>2993</v>
      </c>
      <c r="F41" s="556"/>
      <c r="G41" s="58">
        <f t="shared" si="4"/>
        <v>3151</v>
      </c>
      <c r="H41" s="559"/>
      <c r="I41" s="559"/>
      <c r="J41" s="559"/>
      <c r="K41" s="565"/>
      <c r="L41" s="567"/>
      <c r="M41" s="360"/>
      <c r="N41" s="360"/>
      <c r="O41" s="360"/>
      <c r="P41" s="360"/>
      <c r="Q41" s="360"/>
      <c r="R41" s="360"/>
      <c r="V41" s="2"/>
      <c r="W41" s="2"/>
      <c r="X41" s="2"/>
    </row>
    <row r="42" spans="1:24" s="31" customFormat="1" x14ac:dyDescent="0.3">
      <c r="A42" s="53">
        <v>5</v>
      </c>
      <c r="B42" s="72">
        <v>35</v>
      </c>
      <c r="C42" s="70">
        <v>43910</v>
      </c>
      <c r="D42" s="74">
        <v>19848</v>
      </c>
      <c r="E42" s="62">
        <f t="shared" si="1"/>
        <v>4528</v>
      </c>
      <c r="F42" s="556"/>
      <c r="G42" s="58">
        <f t="shared" si="4"/>
        <v>3151</v>
      </c>
      <c r="H42" s="559"/>
      <c r="I42" s="559"/>
      <c r="J42" s="559"/>
      <c r="K42" s="565"/>
      <c r="L42" s="567"/>
      <c r="M42" s="360"/>
      <c r="N42" s="360"/>
      <c r="O42" s="360"/>
      <c r="P42" s="360"/>
      <c r="Q42" s="360"/>
      <c r="R42" s="360"/>
      <c r="V42" s="2"/>
      <c r="W42" s="2"/>
      <c r="X42" s="2"/>
    </row>
    <row r="43" spans="1:24" s="31" customFormat="1" ht="19.5" thickBot="1" x14ac:dyDescent="0.35">
      <c r="A43" s="53">
        <v>6</v>
      </c>
      <c r="B43" s="72">
        <v>36</v>
      </c>
      <c r="C43" s="73">
        <v>43911</v>
      </c>
      <c r="D43" s="74">
        <v>22364</v>
      </c>
      <c r="E43" s="62">
        <f t="shared" si="1"/>
        <v>2516</v>
      </c>
      <c r="F43" s="556"/>
      <c r="G43" s="58">
        <f t="shared" si="4"/>
        <v>3151</v>
      </c>
      <c r="H43" s="559"/>
      <c r="I43" s="559"/>
      <c r="J43" s="559"/>
      <c r="K43" s="565"/>
      <c r="L43" s="567"/>
      <c r="M43" s="360"/>
      <c r="N43" s="360"/>
      <c r="O43" s="360"/>
      <c r="P43" s="360"/>
      <c r="Q43" s="360"/>
      <c r="R43" s="360"/>
      <c r="V43" s="2"/>
      <c r="W43" s="2"/>
      <c r="X43" s="2"/>
    </row>
    <row r="44" spans="1:24" s="31" customFormat="1" x14ac:dyDescent="0.3">
      <c r="A44" s="53">
        <v>7</v>
      </c>
      <c r="B44" s="72">
        <v>37</v>
      </c>
      <c r="C44" s="70">
        <v>43912</v>
      </c>
      <c r="D44" s="74">
        <v>24873</v>
      </c>
      <c r="E44" s="62">
        <f t="shared" si="1"/>
        <v>2509</v>
      </c>
      <c r="F44" s="556"/>
      <c r="G44" s="58">
        <f t="shared" si="4"/>
        <v>3151</v>
      </c>
      <c r="H44" s="559"/>
      <c r="I44" s="559"/>
      <c r="J44" s="559"/>
      <c r="K44" s="565"/>
      <c r="L44" s="567"/>
      <c r="M44" s="360"/>
      <c r="N44" s="360"/>
      <c r="O44" s="360"/>
      <c r="P44" s="360"/>
      <c r="Q44" s="360"/>
      <c r="R44" s="360"/>
      <c r="V44" s="2"/>
      <c r="W44" s="2"/>
      <c r="X44" s="2"/>
    </row>
    <row r="45" spans="1:24" s="31" customFormat="1" ht="19.5" thickBot="1" x14ac:dyDescent="0.35">
      <c r="A45" s="53">
        <v>8</v>
      </c>
      <c r="B45" s="72">
        <v>38</v>
      </c>
      <c r="C45" s="73">
        <v>43913</v>
      </c>
      <c r="D45" s="74">
        <v>29056</v>
      </c>
      <c r="E45" s="62">
        <f t="shared" si="1"/>
        <v>4183</v>
      </c>
      <c r="F45" s="556"/>
      <c r="G45" s="58">
        <f t="shared" si="4"/>
        <v>3151</v>
      </c>
      <c r="H45" s="559"/>
      <c r="I45" s="559"/>
      <c r="J45" s="559"/>
      <c r="K45" s="565"/>
      <c r="L45" s="567"/>
      <c r="M45" s="360"/>
      <c r="N45" s="360"/>
      <c r="O45" s="360"/>
      <c r="P45" s="360"/>
      <c r="Q45" s="360"/>
      <c r="R45" s="360"/>
      <c r="V45" s="2"/>
      <c r="W45" s="2"/>
      <c r="X45" s="2"/>
    </row>
    <row r="46" spans="1:24" s="31" customFormat="1" x14ac:dyDescent="0.3">
      <c r="A46" s="53">
        <v>9</v>
      </c>
      <c r="B46" s="72">
        <v>39</v>
      </c>
      <c r="C46" s="70">
        <v>43914</v>
      </c>
      <c r="D46" s="74">
        <v>32991</v>
      </c>
      <c r="E46" s="62">
        <f t="shared" si="1"/>
        <v>3935</v>
      </c>
      <c r="F46" s="556"/>
      <c r="G46" s="58">
        <f t="shared" si="4"/>
        <v>3151</v>
      </c>
      <c r="H46" s="559"/>
      <c r="I46" s="559"/>
      <c r="J46" s="559"/>
      <c r="K46" s="565"/>
      <c r="L46" s="559"/>
      <c r="M46" s="172"/>
      <c r="N46" s="172"/>
      <c r="O46" s="172"/>
      <c r="P46" s="172"/>
      <c r="Q46" s="258"/>
      <c r="R46" s="258"/>
      <c r="V46" s="2"/>
      <c r="W46" s="2"/>
      <c r="X46" s="2"/>
    </row>
    <row r="47" spans="1:24" s="31" customFormat="1" ht="19.5" thickBot="1" x14ac:dyDescent="0.35">
      <c r="A47" s="53">
        <v>10</v>
      </c>
      <c r="B47" s="76">
        <v>40</v>
      </c>
      <c r="C47" s="73">
        <v>43915</v>
      </c>
      <c r="D47" s="77">
        <v>37323</v>
      </c>
      <c r="E47" s="67">
        <f t="shared" si="1"/>
        <v>4332</v>
      </c>
      <c r="F47" s="557"/>
      <c r="G47" s="58">
        <f t="shared" si="4"/>
        <v>3151</v>
      </c>
      <c r="H47" s="560"/>
      <c r="I47" s="560"/>
      <c r="J47" s="560"/>
      <c r="K47" s="566"/>
      <c r="L47" s="560"/>
      <c r="M47" s="172"/>
      <c r="N47" s="172"/>
      <c r="O47" s="172"/>
      <c r="P47" s="172"/>
      <c r="Q47" s="258"/>
      <c r="R47" s="258"/>
      <c r="V47" s="2"/>
      <c r="W47" s="2"/>
      <c r="X47" s="2"/>
    </row>
    <row r="48" spans="1:24" s="31" customFormat="1" x14ac:dyDescent="0.3">
      <c r="A48" s="53">
        <v>11</v>
      </c>
      <c r="B48" s="69">
        <v>41</v>
      </c>
      <c r="C48" s="164">
        <v>43916</v>
      </c>
      <c r="D48" s="143">
        <v>43938</v>
      </c>
      <c r="E48" s="144">
        <f t="shared" si="1"/>
        <v>6615</v>
      </c>
      <c r="F48" s="568">
        <f>SUM(E48:E57)</f>
        <v>58739</v>
      </c>
      <c r="G48" s="145">
        <f>H$48/10</f>
        <v>5873.9</v>
      </c>
      <c r="H48" s="558">
        <v>58739</v>
      </c>
      <c r="I48" s="558">
        <v>22853</v>
      </c>
      <c r="J48" s="558">
        <v>1238</v>
      </c>
      <c r="K48" s="564">
        <f>H48/SUM(H38+H28+H18+H8-I38-I28-I18-I8-J38-J28-J18-J8)</f>
        <v>1.8588585262425039</v>
      </c>
      <c r="L48" s="558">
        <f>H48*0.05</f>
        <v>2936.9500000000003</v>
      </c>
      <c r="M48" s="172"/>
      <c r="N48" s="172"/>
      <c r="O48" s="172"/>
      <c r="P48" s="172"/>
      <c r="Q48" s="258"/>
      <c r="R48" s="258"/>
      <c r="V48" s="2"/>
      <c r="W48" s="2"/>
      <c r="X48" s="2"/>
    </row>
    <row r="49" spans="1:24" s="31" customFormat="1" x14ac:dyDescent="0.3">
      <c r="A49" s="53">
        <v>12</v>
      </c>
      <c r="B49" s="72">
        <v>42</v>
      </c>
      <c r="C49" s="165">
        <v>43917</v>
      </c>
      <c r="D49" s="146">
        <v>50871</v>
      </c>
      <c r="E49" s="147">
        <f t="shared" si="1"/>
        <v>6933</v>
      </c>
      <c r="F49" s="569"/>
      <c r="G49" s="145">
        <f t="shared" ref="G49:G57" si="5">H$48/10</f>
        <v>5873.9</v>
      </c>
      <c r="H49" s="559"/>
      <c r="I49" s="559"/>
      <c r="J49" s="559"/>
      <c r="K49" s="565"/>
      <c r="L49" s="559"/>
      <c r="M49" s="172"/>
      <c r="N49" s="172"/>
      <c r="O49" s="172"/>
      <c r="P49" s="172"/>
      <c r="Q49" s="258"/>
      <c r="R49" s="258"/>
      <c r="V49" s="2"/>
      <c r="W49" s="2"/>
      <c r="X49" s="2"/>
    </row>
    <row r="50" spans="1:24" s="31" customFormat="1" x14ac:dyDescent="0.3">
      <c r="A50" s="53">
        <v>13</v>
      </c>
      <c r="B50" s="72">
        <v>43</v>
      </c>
      <c r="C50" s="165">
        <v>43918</v>
      </c>
      <c r="D50" s="146">
        <v>57695</v>
      </c>
      <c r="E50" s="147">
        <f t="shared" si="1"/>
        <v>6824</v>
      </c>
      <c r="F50" s="569"/>
      <c r="G50" s="145">
        <f t="shared" si="5"/>
        <v>5873.9</v>
      </c>
      <c r="H50" s="559"/>
      <c r="I50" s="559"/>
      <c r="J50" s="559"/>
      <c r="K50" s="565"/>
      <c r="L50" s="559"/>
      <c r="M50" s="172"/>
      <c r="N50" s="172"/>
      <c r="O50" s="172"/>
      <c r="P50" s="172"/>
      <c r="Q50" s="258"/>
      <c r="R50" s="258"/>
      <c r="V50" s="2"/>
      <c r="W50" s="2"/>
      <c r="X50" s="2"/>
    </row>
    <row r="51" spans="1:24" s="31" customFormat="1" x14ac:dyDescent="0.3">
      <c r="A51" s="53">
        <v>14</v>
      </c>
      <c r="B51" s="72">
        <v>44</v>
      </c>
      <c r="C51" s="165">
        <v>43919</v>
      </c>
      <c r="D51" s="146">
        <v>62435</v>
      </c>
      <c r="E51" s="147">
        <f t="shared" si="1"/>
        <v>4740</v>
      </c>
      <c r="F51" s="569"/>
      <c r="G51" s="145">
        <f t="shared" si="5"/>
        <v>5873.9</v>
      </c>
      <c r="H51" s="559"/>
      <c r="I51" s="559"/>
      <c r="J51" s="559"/>
      <c r="K51" s="565"/>
      <c r="L51" s="559"/>
      <c r="M51" s="172"/>
      <c r="N51" s="172"/>
      <c r="O51" s="172"/>
      <c r="P51" s="172"/>
      <c r="Q51" s="258"/>
      <c r="R51" s="258"/>
      <c r="V51" s="2"/>
      <c r="W51" s="2"/>
      <c r="X51" s="2"/>
    </row>
    <row r="52" spans="1:24" s="31" customFormat="1" x14ac:dyDescent="0.3">
      <c r="A52" s="53">
        <v>15</v>
      </c>
      <c r="B52" s="72">
        <v>45</v>
      </c>
      <c r="C52" s="165">
        <v>43920</v>
      </c>
      <c r="D52" s="146">
        <v>66885</v>
      </c>
      <c r="E52" s="147">
        <f t="shared" si="1"/>
        <v>4450</v>
      </c>
      <c r="F52" s="569"/>
      <c r="G52" s="145">
        <f t="shared" si="5"/>
        <v>5873.9</v>
      </c>
      <c r="H52" s="559"/>
      <c r="I52" s="559"/>
      <c r="J52" s="559"/>
      <c r="K52" s="565"/>
      <c r="L52" s="559"/>
      <c r="M52" s="172"/>
      <c r="N52" s="172"/>
      <c r="O52" s="172"/>
      <c r="P52" s="172"/>
      <c r="Q52" s="258"/>
      <c r="R52" s="258"/>
      <c r="V52" s="2"/>
      <c r="W52" s="2"/>
      <c r="X52" s="2"/>
    </row>
    <row r="53" spans="1:24" s="52" customFormat="1" x14ac:dyDescent="0.3">
      <c r="A53" s="53">
        <v>16</v>
      </c>
      <c r="B53" s="72">
        <v>46</v>
      </c>
      <c r="C53" s="165">
        <v>43921</v>
      </c>
      <c r="D53" s="146">
        <v>71808</v>
      </c>
      <c r="E53" s="147">
        <f t="shared" si="1"/>
        <v>4923</v>
      </c>
      <c r="F53" s="569"/>
      <c r="G53" s="145">
        <f t="shared" si="5"/>
        <v>5873.9</v>
      </c>
      <c r="H53" s="559"/>
      <c r="I53" s="559"/>
      <c r="J53" s="559"/>
      <c r="K53" s="565"/>
      <c r="L53" s="559"/>
      <c r="M53" s="172"/>
      <c r="N53" s="172"/>
      <c r="O53" s="172"/>
      <c r="P53" s="172"/>
      <c r="Q53" s="258"/>
      <c r="R53" s="258"/>
      <c r="S53" s="31"/>
      <c r="T53" s="31"/>
      <c r="U53" s="31"/>
      <c r="V53" s="2"/>
      <c r="W53" s="2"/>
      <c r="X53" s="2"/>
    </row>
    <row r="54" spans="1:24" s="52" customFormat="1" x14ac:dyDescent="0.3">
      <c r="A54" s="53">
        <v>17</v>
      </c>
      <c r="B54" s="72">
        <v>47</v>
      </c>
      <c r="C54" s="165">
        <v>43922</v>
      </c>
      <c r="D54" s="146">
        <v>77981</v>
      </c>
      <c r="E54" s="147">
        <f t="shared" si="1"/>
        <v>6173</v>
      </c>
      <c r="F54" s="569"/>
      <c r="G54" s="145">
        <f t="shared" si="5"/>
        <v>5873.9</v>
      </c>
      <c r="H54" s="559"/>
      <c r="I54" s="559"/>
      <c r="J54" s="559"/>
      <c r="K54" s="565"/>
      <c r="L54" s="559"/>
      <c r="M54" s="172"/>
      <c r="N54" s="172"/>
      <c r="O54" s="172"/>
      <c r="P54" s="172"/>
      <c r="Q54" s="258"/>
      <c r="R54" s="258"/>
      <c r="S54" s="31"/>
      <c r="T54" s="31"/>
      <c r="U54" s="31"/>
      <c r="V54" s="2"/>
      <c r="W54" s="2"/>
      <c r="X54" s="2"/>
    </row>
    <row r="55" spans="1:24" s="52" customFormat="1" x14ac:dyDescent="0.3">
      <c r="A55" s="53">
        <v>18</v>
      </c>
      <c r="B55" s="72">
        <v>48</v>
      </c>
      <c r="C55" s="165">
        <v>43923</v>
      </c>
      <c r="D55" s="146">
        <v>84794</v>
      </c>
      <c r="E55" s="147">
        <f t="shared" si="1"/>
        <v>6813</v>
      </c>
      <c r="F55" s="569"/>
      <c r="G55" s="145">
        <f t="shared" si="5"/>
        <v>5873.9</v>
      </c>
      <c r="H55" s="559"/>
      <c r="I55" s="559"/>
      <c r="J55" s="559"/>
      <c r="K55" s="565"/>
      <c r="L55" s="559"/>
      <c r="M55" s="172"/>
      <c r="N55" s="172"/>
      <c r="O55" s="172"/>
      <c r="P55" s="172"/>
      <c r="Q55" s="258"/>
      <c r="R55" s="258"/>
      <c r="S55" s="31"/>
      <c r="T55" s="31"/>
      <c r="U55" s="31"/>
      <c r="V55" s="2"/>
      <c r="W55" s="2"/>
      <c r="X55" s="2"/>
    </row>
    <row r="56" spans="1:24" s="52" customFormat="1" x14ac:dyDescent="0.3">
      <c r="A56" s="53">
        <v>19</v>
      </c>
      <c r="B56" s="72">
        <v>49</v>
      </c>
      <c r="C56" s="165">
        <v>43924</v>
      </c>
      <c r="D56" s="146">
        <v>91159</v>
      </c>
      <c r="E56" s="147">
        <f t="shared" si="1"/>
        <v>6365</v>
      </c>
      <c r="F56" s="569"/>
      <c r="G56" s="145">
        <f t="shared" si="5"/>
        <v>5873.9</v>
      </c>
      <c r="H56" s="559"/>
      <c r="I56" s="559"/>
      <c r="J56" s="559"/>
      <c r="K56" s="565"/>
      <c r="L56" s="559"/>
      <c r="M56" s="172"/>
      <c r="N56" s="172"/>
      <c r="O56" s="172"/>
      <c r="P56" s="172"/>
      <c r="Q56" s="258"/>
      <c r="R56" s="258"/>
      <c r="S56" s="31"/>
      <c r="T56" s="31"/>
      <c r="U56" s="31"/>
      <c r="V56" s="2"/>
      <c r="W56" s="2"/>
      <c r="X56" s="2"/>
    </row>
    <row r="57" spans="1:24" s="52" customFormat="1" ht="19.5" thickBot="1" x14ac:dyDescent="0.35">
      <c r="A57" s="53">
        <v>20</v>
      </c>
      <c r="B57" s="76">
        <v>50</v>
      </c>
      <c r="C57" s="166">
        <v>43925</v>
      </c>
      <c r="D57" s="150">
        <v>96062</v>
      </c>
      <c r="E57" s="167">
        <f t="shared" si="1"/>
        <v>4903</v>
      </c>
      <c r="F57" s="570"/>
      <c r="G57" s="145">
        <f t="shared" si="5"/>
        <v>5873.9</v>
      </c>
      <c r="H57" s="560"/>
      <c r="I57" s="560"/>
      <c r="J57" s="560"/>
      <c r="K57" s="566"/>
      <c r="L57" s="560"/>
      <c r="M57" s="172"/>
      <c r="N57" s="172"/>
      <c r="O57" s="172"/>
      <c r="P57" s="172"/>
      <c r="Q57" s="258"/>
      <c r="R57" s="258"/>
      <c r="S57" s="31"/>
      <c r="T57" s="31"/>
      <c r="U57" s="31"/>
      <c r="V57" s="2"/>
      <c r="W57" s="2"/>
      <c r="X57" s="2"/>
    </row>
    <row r="58" spans="1:24" s="52" customFormat="1" x14ac:dyDescent="0.3">
      <c r="A58" s="53">
        <v>21</v>
      </c>
      <c r="B58" s="54">
        <v>51</v>
      </c>
      <c r="C58" s="151">
        <v>43926</v>
      </c>
      <c r="D58" s="152"/>
      <c r="E58" s="153"/>
      <c r="F58" s="574">
        <f>SUM(E58:E67)</f>
        <v>0</v>
      </c>
      <c r="G58" s="179">
        <f>H$58/10</f>
        <v>4000</v>
      </c>
      <c r="H58" s="571">
        <v>40000</v>
      </c>
      <c r="I58" s="571"/>
      <c r="J58" s="571"/>
      <c r="K58" s="577">
        <f>H58/SUM(H48+H38+H28+H18+H8-I48-I38-I28-I18-J48-J38-J28-J18-I8-J8)</f>
        <v>0.60379636967432737</v>
      </c>
      <c r="L58" s="571">
        <f>H58*0.05</f>
        <v>2000</v>
      </c>
      <c r="M58" s="172"/>
      <c r="N58" s="172"/>
      <c r="O58" s="172"/>
      <c r="P58" s="172"/>
      <c r="Q58" s="258"/>
      <c r="R58" s="258"/>
      <c r="S58" s="31"/>
      <c r="T58" s="31"/>
      <c r="U58" s="31"/>
      <c r="V58" s="2"/>
      <c r="W58" s="2"/>
      <c r="X58" s="2"/>
    </row>
    <row r="59" spans="1:24" s="52" customFormat="1" x14ac:dyDescent="0.3">
      <c r="A59" s="53">
        <v>22</v>
      </c>
      <c r="B59" s="59">
        <v>52</v>
      </c>
      <c r="C59" s="154">
        <v>43927</v>
      </c>
      <c r="D59" s="155"/>
      <c r="E59" s="156"/>
      <c r="F59" s="575"/>
      <c r="G59" s="179">
        <f t="shared" ref="G59:G67" si="6">H$58/10</f>
        <v>4000</v>
      </c>
      <c r="H59" s="572"/>
      <c r="I59" s="572"/>
      <c r="J59" s="572"/>
      <c r="K59" s="578"/>
      <c r="L59" s="572"/>
      <c r="M59" s="172"/>
      <c r="N59" s="172"/>
      <c r="O59" s="172"/>
      <c r="P59" s="172"/>
      <c r="Q59" s="258"/>
      <c r="R59" s="258"/>
      <c r="S59" s="31"/>
      <c r="T59" s="31"/>
      <c r="U59" s="31"/>
      <c r="V59" s="2"/>
      <c r="W59" s="2"/>
      <c r="X59" s="2"/>
    </row>
    <row r="60" spans="1:24" s="52" customFormat="1" x14ac:dyDescent="0.3">
      <c r="A60" s="53">
        <v>23</v>
      </c>
      <c r="B60" s="59">
        <v>53</v>
      </c>
      <c r="C60" s="154">
        <v>43928</v>
      </c>
      <c r="D60" s="155"/>
      <c r="E60" s="156"/>
      <c r="F60" s="575"/>
      <c r="G60" s="179">
        <f t="shared" si="6"/>
        <v>4000</v>
      </c>
      <c r="H60" s="572"/>
      <c r="I60" s="572"/>
      <c r="J60" s="572"/>
      <c r="K60" s="578"/>
      <c r="L60" s="572"/>
      <c r="M60" s="172"/>
      <c r="N60" s="172"/>
      <c r="O60" s="172"/>
      <c r="P60" s="172"/>
      <c r="Q60" s="258"/>
      <c r="R60" s="258"/>
      <c r="S60" s="31"/>
      <c r="T60" s="31"/>
      <c r="U60" s="31"/>
      <c r="V60" s="2"/>
      <c r="W60" s="2"/>
      <c r="X60" s="2"/>
    </row>
    <row r="61" spans="1:24" s="52" customFormat="1" x14ac:dyDescent="0.3">
      <c r="A61" s="53">
        <v>24</v>
      </c>
      <c r="B61" s="59">
        <v>54</v>
      </c>
      <c r="C61" s="154">
        <v>43929</v>
      </c>
      <c r="D61" s="155"/>
      <c r="E61" s="156"/>
      <c r="F61" s="575"/>
      <c r="G61" s="179">
        <f t="shared" si="6"/>
        <v>4000</v>
      </c>
      <c r="H61" s="572"/>
      <c r="I61" s="572"/>
      <c r="J61" s="572"/>
      <c r="K61" s="578"/>
      <c r="L61" s="580"/>
      <c r="M61" s="172"/>
      <c r="N61" s="172"/>
      <c r="O61" s="172"/>
      <c r="P61" s="172"/>
      <c r="Q61" s="258"/>
      <c r="R61" s="258"/>
      <c r="S61" s="31"/>
      <c r="T61" s="31"/>
      <c r="U61" s="31"/>
      <c r="V61" s="2"/>
      <c r="W61" s="2"/>
      <c r="X61" s="2"/>
    </row>
    <row r="62" spans="1:24" s="52" customFormat="1" x14ac:dyDescent="0.3">
      <c r="A62" s="53">
        <v>25</v>
      </c>
      <c r="B62" s="59">
        <v>55</v>
      </c>
      <c r="C62" s="154">
        <v>43930</v>
      </c>
      <c r="D62" s="155"/>
      <c r="E62" s="156"/>
      <c r="F62" s="575"/>
      <c r="G62" s="179">
        <f t="shared" si="6"/>
        <v>4000</v>
      </c>
      <c r="H62" s="572"/>
      <c r="I62" s="572"/>
      <c r="J62" s="572"/>
      <c r="K62" s="578"/>
      <c r="L62" s="580"/>
      <c r="M62" s="172"/>
      <c r="N62" s="172"/>
      <c r="O62" s="172"/>
      <c r="P62" s="172"/>
      <c r="Q62" s="258"/>
      <c r="R62" s="258"/>
      <c r="S62" s="31"/>
      <c r="T62" s="31"/>
      <c r="U62" s="31"/>
      <c r="V62" s="2"/>
      <c r="W62" s="2"/>
      <c r="X62" s="2"/>
    </row>
    <row r="63" spans="1:24" s="52" customFormat="1" x14ac:dyDescent="0.3">
      <c r="A63" s="53">
        <v>26</v>
      </c>
      <c r="B63" s="59">
        <v>56</v>
      </c>
      <c r="C63" s="154">
        <v>43931</v>
      </c>
      <c r="D63" s="155"/>
      <c r="E63" s="156"/>
      <c r="F63" s="575"/>
      <c r="G63" s="179">
        <f t="shared" si="6"/>
        <v>4000</v>
      </c>
      <c r="H63" s="572"/>
      <c r="I63" s="572"/>
      <c r="J63" s="572"/>
      <c r="K63" s="578"/>
      <c r="L63" s="580"/>
      <c r="M63" s="172"/>
      <c r="N63" s="172"/>
      <c r="O63" s="172"/>
      <c r="P63" s="172"/>
      <c r="Q63" s="258"/>
      <c r="R63" s="258"/>
      <c r="S63" s="31"/>
      <c r="T63" s="31"/>
      <c r="U63" s="31"/>
      <c r="V63" s="2"/>
      <c r="W63" s="2"/>
      <c r="X63" s="2"/>
    </row>
    <row r="64" spans="1:24" s="52" customFormat="1" x14ac:dyDescent="0.3">
      <c r="A64" s="53">
        <v>27</v>
      </c>
      <c r="B64" s="149">
        <v>57</v>
      </c>
      <c r="C64" s="154">
        <v>43932</v>
      </c>
      <c r="D64" s="155"/>
      <c r="E64" s="156"/>
      <c r="F64" s="575"/>
      <c r="G64" s="179">
        <f t="shared" si="6"/>
        <v>4000</v>
      </c>
      <c r="H64" s="572"/>
      <c r="I64" s="572"/>
      <c r="J64" s="572"/>
      <c r="K64" s="578"/>
      <c r="L64" s="572"/>
      <c r="M64" s="172"/>
      <c r="N64" s="172"/>
      <c r="O64" s="172"/>
      <c r="P64" s="172"/>
      <c r="Q64" s="258"/>
      <c r="R64" s="258"/>
      <c r="S64" s="31"/>
      <c r="T64" s="31"/>
      <c r="U64" s="31"/>
      <c r="V64" s="2"/>
      <c r="W64" s="2"/>
      <c r="X64" s="2"/>
    </row>
    <row r="65" spans="1:24" s="52" customFormat="1" x14ac:dyDescent="0.3">
      <c r="A65" s="53">
        <v>28</v>
      </c>
      <c r="B65" s="59">
        <v>58</v>
      </c>
      <c r="C65" s="154">
        <v>43933</v>
      </c>
      <c r="D65" s="155"/>
      <c r="E65" s="156"/>
      <c r="F65" s="575"/>
      <c r="G65" s="179">
        <f t="shared" si="6"/>
        <v>4000</v>
      </c>
      <c r="H65" s="572"/>
      <c r="I65" s="572"/>
      <c r="J65" s="572"/>
      <c r="K65" s="578"/>
      <c r="L65" s="572"/>
      <c r="M65" s="172"/>
      <c r="N65" s="172"/>
      <c r="O65" s="172"/>
      <c r="P65" s="172"/>
      <c r="Q65" s="258"/>
      <c r="R65" s="258"/>
      <c r="S65" s="31"/>
      <c r="T65" s="31"/>
      <c r="U65" s="31"/>
      <c r="V65" s="2"/>
      <c r="W65" s="2"/>
      <c r="X65" s="2"/>
    </row>
    <row r="66" spans="1:24" s="52" customFormat="1" x14ac:dyDescent="0.3">
      <c r="A66" s="53">
        <v>29</v>
      </c>
      <c r="B66" s="59">
        <v>59</v>
      </c>
      <c r="C66" s="154">
        <v>43934</v>
      </c>
      <c r="D66" s="155"/>
      <c r="E66" s="156"/>
      <c r="F66" s="575"/>
      <c r="G66" s="179">
        <f t="shared" si="6"/>
        <v>4000</v>
      </c>
      <c r="H66" s="572"/>
      <c r="I66" s="572"/>
      <c r="J66" s="572"/>
      <c r="K66" s="578"/>
      <c r="L66" s="572"/>
      <c r="M66" s="172"/>
      <c r="N66" s="172"/>
      <c r="O66" s="172"/>
      <c r="P66" s="172"/>
      <c r="Q66" s="258"/>
      <c r="R66" s="258"/>
      <c r="S66" s="31"/>
      <c r="T66" s="31"/>
      <c r="U66" s="31"/>
      <c r="V66" s="2"/>
      <c r="W66" s="2"/>
      <c r="X66" s="2"/>
    </row>
    <row r="67" spans="1:24" s="52" customFormat="1" ht="19.5" thickBot="1" x14ac:dyDescent="0.35">
      <c r="A67" s="53">
        <v>30</v>
      </c>
      <c r="B67" s="64">
        <v>60</v>
      </c>
      <c r="C67" s="157">
        <v>43935</v>
      </c>
      <c r="D67" s="158"/>
      <c r="E67" s="159"/>
      <c r="F67" s="576"/>
      <c r="G67" s="179">
        <f t="shared" si="6"/>
        <v>4000</v>
      </c>
      <c r="H67" s="573"/>
      <c r="I67" s="573"/>
      <c r="J67" s="573"/>
      <c r="K67" s="579"/>
      <c r="L67" s="573"/>
      <c r="M67" s="172"/>
      <c r="N67" s="172"/>
      <c r="O67" s="172"/>
      <c r="P67" s="172"/>
      <c r="Q67" s="258"/>
      <c r="R67" s="258"/>
      <c r="S67" s="31"/>
      <c r="T67" s="31"/>
      <c r="U67" s="31"/>
      <c r="V67" s="2"/>
      <c r="W67" s="2"/>
      <c r="X67" s="2"/>
    </row>
    <row r="68" spans="1:24" s="52" customFormat="1" x14ac:dyDescent="0.3">
      <c r="A68" s="53">
        <v>31</v>
      </c>
      <c r="B68" s="59">
        <v>61</v>
      </c>
      <c r="C68" s="151">
        <v>43936</v>
      </c>
      <c r="D68" s="152"/>
      <c r="E68" s="153"/>
      <c r="F68" s="574">
        <f>SUM(E68:E77)</f>
        <v>0</v>
      </c>
      <c r="G68" s="179">
        <f>H$68/10</f>
        <v>1800</v>
      </c>
      <c r="H68" s="571">
        <v>18000</v>
      </c>
      <c r="I68" s="571"/>
      <c r="J68" s="571"/>
      <c r="K68" s="577">
        <f>H68/SUM(H8+H58+H48+H38+H28+H18-I58-I48-I38-I28-J58-J48-J38-J28-I18-J18-I8-J8)</f>
        <v>0.16941575095884609</v>
      </c>
      <c r="L68" s="571">
        <f>H68*0.05</f>
        <v>900</v>
      </c>
      <c r="M68" s="172"/>
      <c r="N68" s="172"/>
      <c r="O68" s="172"/>
      <c r="P68" s="172"/>
      <c r="Q68" s="258"/>
      <c r="R68" s="258"/>
      <c r="S68" s="31"/>
      <c r="T68" s="31"/>
      <c r="U68" s="31"/>
      <c r="V68" s="2"/>
      <c r="W68" s="2"/>
      <c r="X68" s="2"/>
    </row>
    <row r="69" spans="1:24" s="52" customFormat="1" x14ac:dyDescent="0.3">
      <c r="A69" s="53">
        <v>32</v>
      </c>
      <c r="B69" s="59">
        <v>62</v>
      </c>
      <c r="C69" s="154">
        <v>43937</v>
      </c>
      <c r="D69" s="155"/>
      <c r="E69" s="156"/>
      <c r="F69" s="575"/>
      <c r="G69" s="179">
        <f t="shared" ref="G69:G77" si="7">H$68/10</f>
        <v>1800</v>
      </c>
      <c r="H69" s="572"/>
      <c r="I69" s="572"/>
      <c r="J69" s="572"/>
      <c r="K69" s="578"/>
      <c r="L69" s="572"/>
      <c r="M69" s="172"/>
      <c r="N69" s="172"/>
      <c r="O69" s="172"/>
      <c r="P69" s="172"/>
      <c r="Q69" s="258"/>
      <c r="R69" s="258"/>
      <c r="S69" s="31"/>
      <c r="T69" s="31"/>
      <c r="U69" s="31"/>
      <c r="V69" s="2"/>
      <c r="W69" s="2"/>
      <c r="X69" s="2"/>
    </row>
    <row r="70" spans="1:24" s="52" customFormat="1" x14ac:dyDescent="0.3">
      <c r="A70" s="53">
        <v>33</v>
      </c>
      <c r="B70" s="59">
        <v>63</v>
      </c>
      <c r="C70" s="154">
        <v>43938</v>
      </c>
      <c r="D70" s="155"/>
      <c r="E70" s="156"/>
      <c r="F70" s="575"/>
      <c r="G70" s="179">
        <f t="shared" si="7"/>
        <v>1800</v>
      </c>
      <c r="H70" s="572"/>
      <c r="I70" s="572"/>
      <c r="J70" s="572"/>
      <c r="K70" s="578"/>
      <c r="L70" s="572"/>
      <c r="M70" s="172"/>
      <c r="N70" s="172"/>
      <c r="O70" s="172"/>
      <c r="P70" s="172"/>
      <c r="Q70" s="258"/>
      <c r="R70" s="258"/>
      <c r="S70" s="31"/>
      <c r="T70" s="31"/>
      <c r="U70" s="31"/>
      <c r="V70" s="2"/>
      <c r="W70" s="2"/>
      <c r="X70" s="2"/>
    </row>
    <row r="71" spans="1:24" s="52" customFormat="1" x14ac:dyDescent="0.3">
      <c r="A71" s="53">
        <v>34</v>
      </c>
      <c r="B71" s="59">
        <v>64</v>
      </c>
      <c r="C71" s="154">
        <v>43939</v>
      </c>
      <c r="D71" s="155"/>
      <c r="E71" s="156"/>
      <c r="F71" s="575"/>
      <c r="G71" s="179">
        <f t="shared" si="7"/>
        <v>1800</v>
      </c>
      <c r="H71" s="572"/>
      <c r="I71" s="572"/>
      <c r="J71" s="572"/>
      <c r="K71" s="578"/>
      <c r="L71" s="572"/>
      <c r="M71" s="172"/>
      <c r="N71" s="172"/>
      <c r="O71" s="172"/>
      <c r="P71" s="172"/>
      <c r="Q71" s="258"/>
      <c r="R71" s="258"/>
      <c r="S71" s="31"/>
      <c r="T71" s="31"/>
      <c r="U71" s="31"/>
      <c r="V71" s="2"/>
      <c r="W71" s="2"/>
      <c r="X71" s="2"/>
    </row>
    <row r="72" spans="1:24" s="52" customFormat="1" x14ac:dyDescent="0.3">
      <c r="A72" s="53">
        <v>35</v>
      </c>
      <c r="B72" s="59">
        <v>65</v>
      </c>
      <c r="C72" s="154">
        <v>43940</v>
      </c>
      <c r="D72" s="155"/>
      <c r="E72" s="156"/>
      <c r="F72" s="575"/>
      <c r="G72" s="179">
        <f t="shared" si="7"/>
        <v>1800</v>
      </c>
      <c r="H72" s="572"/>
      <c r="I72" s="572"/>
      <c r="J72" s="572"/>
      <c r="K72" s="578"/>
      <c r="L72" s="572"/>
      <c r="M72" s="172"/>
      <c r="N72" s="172"/>
      <c r="O72" s="172"/>
      <c r="P72" s="172"/>
      <c r="Q72" s="258"/>
      <c r="R72" s="258"/>
      <c r="S72" s="31"/>
      <c r="T72" s="31"/>
      <c r="U72" s="31"/>
      <c r="V72" s="2"/>
      <c r="W72" s="2"/>
      <c r="X72" s="2"/>
    </row>
    <row r="73" spans="1:24" s="52" customFormat="1" x14ac:dyDescent="0.3">
      <c r="A73" s="53">
        <v>36</v>
      </c>
      <c r="B73" s="59">
        <v>66</v>
      </c>
      <c r="C73" s="154">
        <v>43941</v>
      </c>
      <c r="D73" s="155"/>
      <c r="E73" s="156"/>
      <c r="F73" s="575"/>
      <c r="G73" s="179">
        <f t="shared" si="7"/>
        <v>1800</v>
      </c>
      <c r="H73" s="572"/>
      <c r="I73" s="572"/>
      <c r="J73" s="572"/>
      <c r="K73" s="578"/>
      <c r="L73" s="572"/>
      <c r="M73" s="172"/>
      <c r="N73" s="172"/>
      <c r="O73" s="172"/>
      <c r="P73" s="172"/>
      <c r="Q73" s="258"/>
      <c r="R73" s="258"/>
      <c r="S73" s="31"/>
      <c r="T73" s="31"/>
      <c r="U73" s="31"/>
      <c r="V73" s="2"/>
      <c r="W73" s="2"/>
      <c r="X73" s="2"/>
    </row>
    <row r="74" spans="1:24" s="52" customFormat="1" x14ac:dyDescent="0.3">
      <c r="A74" s="53">
        <v>37</v>
      </c>
      <c r="B74" s="59">
        <v>67</v>
      </c>
      <c r="C74" s="154">
        <v>43942</v>
      </c>
      <c r="D74" s="155"/>
      <c r="E74" s="156"/>
      <c r="F74" s="575"/>
      <c r="G74" s="179">
        <f t="shared" si="7"/>
        <v>1800</v>
      </c>
      <c r="H74" s="572"/>
      <c r="I74" s="572"/>
      <c r="J74" s="572"/>
      <c r="K74" s="578"/>
      <c r="L74" s="572"/>
      <c r="M74" s="172"/>
      <c r="N74" s="172"/>
      <c r="O74" s="172"/>
      <c r="P74" s="172"/>
      <c r="Q74" s="258"/>
      <c r="R74" s="258"/>
      <c r="S74" s="31"/>
      <c r="T74" s="31"/>
      <c r="U74" s="31"/>
      <c r="V74" s="2"/>
      <c r="W74" s="2"/>
      <c r="X74" s="2"/>
    </row>
    <row r="75" spans="1:24" s="52" customFormat="1" x14ac:dyDescent="0.3">
      <c r="A75" s="53">
        <v>38</v>
      </c>
      <c r="B75" s="59">
        <v>68</v>
      </c>
      <c r="C75" s="154">
        <v>43943</v>
      </c>
      <c r="D75" s="155"/>
      <c r="E75" s="156"/>
      <c r="F75" s="575"/>
      <c r="G75" s="179">
        <f t="shared" si="7"/>
        <v>1800</v>
      </c>
      <c r="H75" s="572"/>
      <c r="I75" s="572"/>
      <c r="J75" s="572"/>
      <c r="K75" s="578"/>
      <c r="L75" s="572"/>
      <c r="M75" s="172"/>
      <c r="N75" s="172"/>
      <c r="O75" s="172"/>
      <c r="P75" s="172"/>
      <c r="Q75" s="258"/>
      <c r="R75" s="258"/>
      <c r="S75" s="31"/>
      <c r="T75" s="31"/>
      <c r="U75" s="31"/>
      <c r="V75" s="2"/>
      <c r="W75" s="2"/>
      <c r="X75" s="2"/>
    </row>
    <row r="76" spans="1:24" s="52" customFormat="1" x14ac:dyDescent="0.3">
      <c r="A76" s="53">
        <v>39</v>
      </c>
      <c r="B76" s="59">
        <v>69</v>
      </c>
      <c r="C76" s="154">
        <v>43944</v>
      </c>
      <c r="D76" s="155"/>
      <c r="E76" s="156"/>
      <c r="F76" s="575"/>
      <c r="G76" s="179">
        <f t="shared" si="7"/>
        <v>1800</v>
      </c>
      <c r="H76" s="572"/>
      <c r="I76" s="572"/>
      <c r="J76" s="572"/>
      <c r="K76" s="578"/>
      <c r="L76" s="572"/>
      <c r="M76" s="172"/>
      <c r="N76" s="172"/>
      <c r="O76" s="172"/>
      <c r="P76" s="172"/>
      <c r="Q76" s="258"/>
      <c r="R76" s="258"/>
      <c r="S76" s="31"/>
      <c r="T76" s="31"/>
      <c r="U76" s="31"/>
      <c r="V76" s="2"/>
      <c r="W76" s="2"/>
      <c r="X76" s="2"/>
    </row>
    <row r="77" spans="1:24" s="52" customFormat="1" ht="19.5" thickBot="1" x14ac:dyDescent="0.35">
      <c r="A77" s="53">
        <v>40</v>
      </c>
      <c r="B77" s="64">
        <v>70</v>
      </c>
      <c r="C77" s="157">
        <v>43945</v>
      </c>
      <c r="D77" s="158"/>
      <c r="E77" s="159"/>
      <c r="F77" s="576"/>
      <c r="G77" s="179">
        <f t="shared" si="7"/>
        <v>1800</v>
      </c>
      <c r="H77" s="573"/>
      <c r="I77" s="573"/>
      <c r="J77" s="573"/>
      <c r="K77" s="579"/>
      <c r="L77" s="573"/>
      <c r="M77" s="172"/>
      <c r="N77" s="172"/>
      <c r="O77" s="172"/>
      <c r="P77" s="172"/>
      <c r="Q77" s="258"/>
      <c r="R77" s="258"/>
      <c r="S77" s="31"/>
      <c r="T77" s="31"/>
      <c r="U77" s="31"/>
      <c r="V77" s="2"/>
      <c r="W77" s="2"/>
      <c r="X77" s="2"/>
    </row>
    <row r="78" spans="1:24" s="52" customFormat="1" x14ac:dyDescent="0.3">
      <c r="A78" s="53">
        <v>41</v>
      </c>
      <c r="B78" s="81">
        <v>71</v>
      </c>
      <c r="C78" s="151">
        <v>43946</v>
      </c>
      <c r="D78" s="152"/>
      <c r="E78" s="153"/>
      <c r="F78" s="574">
        <f>SUM(E78:E87)</f>
        <v>0</v>
      </c>
      <c r="G78" s="179">
        <f>H$78/10</f>
        <v>1000</v>
      </c>
      <c r="H78" s="571">
        <v>10000</v>
      </c>
      <c r="I78" s="571"/>
      <c r="J78" s="571"/>
      <c r="K78" s="577">
        <f>H78/SUM(H8+H18+H68+H58+H48+H38+H28-I68-I58-I48-I38-J68-J58-J48-J38-I28-J28-I18-J18-I8-J8)</f>
        <v>8.0484516791082317E-2</v>
      </c>
      <c r="L78" s="571">
        <f>H78*0.05</f>
        <v>500</v>
      </c>
      <c r="M78" s="172"/>
      <c r="N78" s="172"/>
      <c r="O78" s="172"/>
      <c r="P78" s="172"/>
      <c r="Q78" s="258"/>
      <c r="R78" s="258"/>
      <c r="S78" s="31"/>
      <c r="T78" s="31"/>
      <c r="U78" s="31"/>
      <c r="V78" s="2"/>
      <c r="W78" s="2"/>
      <c r="X78" s="2"/>
    </row>
    <row r="79" spans="1:24" s="52" customFormat="1" x14ac:dyDescent="0.3">
      <c r="A79" s="53">
        <v>42</v>
      </c>
      <c r="B79" s="59">
        <v>72</v>
      </c>
      <c r="C79" s="154">
        <v>43947</v>
      </c>
      <c r="D79" s="155"/>
      <c r="E79" s="156"/>
      <c r="F79" s="575"/>
      <c r="G79" s="179">
        <f t="shared" ref="G79:G87" si="8">H$78/10</f>
        <v>1000</v>
      </c>
      <c r="H79" s="572"/>
      <c r="I79" s="572"/>
      <c r="J79" s="572"/>
      <c r="K79" s="578"/>
      <c r="L79" s="572"/>
      <c r="M79" s="172"/>
      <c r="N79" s="172"/>
      <c r="O79" s="172"/>
      <c r="P79" s="172"/>
      <c r="Q79" s="258"/>
      <c r="R79" s="258"/>
      <c r="S79" s="31"/>
      <c r="T79" s="31"/>
      <c r="U79" s="31"/>
      <c r="V79" s="2"/>
      <c r="W79" s="2"/>
      <c r="X79" s="2"/>
    </row>
    <row r="80" spans="1:24" s="52" customFormat="1" x14ac:dyDescent="0.3">
      <c r="A80" s="53">
        <v>43</v>
      </c>
      <c r="B80" s="59">
        <v>73</v>
      </c>
      <c r="C80" s="154">
        <v>43948</v>
      </c>
      <c r="D80" s="155"/>
      <c r="E80" s="156"/>
      <c r="F80" s="575"/>
      <c r="G80" s="179">
        <f t="shared" si="8"/>
        <v>1000</v>
      </c>
      <c r="H80" s="572"/>
      <c r="I80" s="572"/>
      <c r="J80" s="572"/>
      <c r="K80" s="578"/>
      <c r="L80" s="572"/>
      <c r="M80" s="172"/>
      <c r="N80" s="172"/>
      <c r="O80" s="172"/>
      <c r="P80" s="172"/>
      <c r="Q80" s="258"/>
      <c r="R80" s="258"/>
      <c r="S80" s="31"/>
      <c r="T80" s="31"/>
      <c r="U80" s="31"/>
      <c r="V80" s="2"/>
      <c r="W80" s="2"/>
      <c r="X80" s="2"/>
    </row>
    <row r="81" spans="1:24" s="52" customFormat="1" x14ac:dyDescent="0.3">
      <c r="A81" s="53">
        <v>44</v>
      </c>
      <c r="B81" s="59">
        <v>74</v>
      </c>
      <c r="C81" s="154">
        <v>43949</v>
      </c>
      <c r="D81" s="155"/>
      <c r="E81" s="156"/>
      <c r="F81" s="575"/>
      <c r="G81" s="179">
        <f t="shared" si="8"/>
        <v>1000</v>
      </c>
      <c r="H81" s="572"/>
      <c r="I81" s="572"/>
      <c r="J81" s="572"/>
      <c r="K81" s="578"/>
      <c r="L81" s="572"/>
      <c r="M81" s="172"/>
      <c r="N81" s="172"/>
      <c r="O81" s="172"/>
      <c r="P81" s="172"/>
      <c r="Q81" s="258"/>
      <c r="R81" s="258"/>
      <c r="S81" s="31"/>
      <c r="T81" s="31"/>
      <c r="U81" s="31"/>
      <c r="V81" s="2"/>
      <c r="W81" s="2"/>
      <c r="X81" s="2"/>
    </row>
    <row r="82" spans="1:24" s="52" customFormat="1" x14ac:dyDescent="0.3">
      <c r="A82" s="53">
        <v>45</v>
      </c>
      <c r="B82" s="59">
        <v>75</v>
      </c>
      <c r="C82" s="154">
        <v>43950</v>
      </c>
      <c r="D82" s="155"/>
      <c r="E82" s="156"/>
      <c r="F82" s="575"/>
      <c r="G82" s="179">
        <f t="shared" si="8"/>
        <v>1000</v>
      </c>
      <c r="H82" s="572"/>
      <c r="I82" s="572"/>
      <c r="J82" s="572"/>
      <c r="K82" s="578"/>
      <c r="L82" s="572"/>
      <c r="M82" s="172"/>
      <c r="N82" s="172"/>
      <c r="O82" s="172"/>
      <c r="P82" s="172"/>
      <c r="Q82" s="258"/>
      <c r="R82" s="258"/>
      <c r="S82" s="31"/>
      <c r="T82" s="31"/>
      <c r="U82" s="31"/>
      <c r="V82" s="2"/>
      <c r="W82" s="2"/>
      <c r="X82" s="2"/>
    </row>
    <row r="83" spans="1:24" s="52" customFormat="1" x14ac:dyDescent="0.3">
      <c r="A83" s="53">
        <v>46</v>
      </c>
      <c r="B83" s="59">
        <v>76</v>
      </c>
      <c r="C83" s="154">
        <v>43951</v>
      </c>
      <c r="D83" s="155"/>
      <c r="E83" s="156"/>
      <c r="F83" s="575"/>
      <c r="G83" s="179">
        <f t="shared" si="8"/>
        <v>1000</v>
      </c>
      <c r="H83" s="572"/>
      <c r="I83" s="572"/>
      <c r="J83" s="572"/>
      <c r="K83" s="578"/>
      <c r="L83" s="572"/>
      <c r="M83" s="172"/>
      <c r="N83" s="172"/>
      <c r="O83" s="172"/>
      <c r="P83" s="172"/>
      <c r="Q83" s="258"/>
      <c r="R83" s="258"/>
      <c r="S83" s="31"/>
      <c r="T83" s="31"/>
      <c r="U83" s="31"/>
      <c r="V83" s="2"/>
      <c r="W83" s="2"/>
      <c r="X83" s="2"/>
    </row>
    <row r="84" spans="1:24" s="52" customFormat="1" x14ac:dyDescent="0.3">
      <c r="A84" s="53">
        <v>47</v>
      </c>
      <c r="B84" s="59">
        <v>77</v>
      </c>
      <c r="C84" s="154">
        <v>43957</v>
      </c>
      <c r="D84" s="155"/>
      <c r="E84" s="156"/>
      <c r="F84" s="575"/>
      <c r="G84" s="179">
        <f t="shared" si="8"/>
        <v>1000</v>
      </c>
      <c r="H84" s="572"/>
      <c r="I84" s="572"/>
      <c r="J84" s="572"/>
      <c r="K84" s="578"/>
      <c r="L84" s="572"/>
      <c r="M84" s="172"/>
      <c r="N84" s="172"/>
      <c r="O84" s="172"/>
      <c r="P84" s="172"/>
      <c r="Q84" s="258"/>
      <c r="R84" s="258"/>
      <c r="S84" s="31"/>
      <c r="T84" s="31"/>
      <c r="U84" s="31"/>
      <c r="V84" s="2"/>
      <c r="W84" s="2"/>
      <c r="X84" s="2"/>
    </row>
    <row r="85" spans="1:24" s="52" customFormat="1" x14ac:dyDescent="0.3">
      <c r="A85" s="53">
        <v>48</v>
      </c>
      <c r="B85" s="59">
        <v>78</v>
      </c>
      <c r="C85" s="154">
        <v>43958</v>
      </c>
      <c r="D85" s="155"/>
      <c r="E85" s="156"/>
      <c r="F85" s="575"/>
      <c r="G85" s="179">
        <f t="shared" si="8"/>
        <v>1000</v>
      </c>
      <c r="H85" s="572"/>
      <c r="I85" s="572"/>
      <c r="J85" s="572"/>
      <c r="K85" s="578"/>
      <c r="L85" s="572"/>
      <c r="M85" s="172"/>
      <c r="N85" s="172"/>
      <c r="O85" s="172"/>
      <c r="P85" s="172"/>
      <c r="Q85" s="258"/>
      <c r="R85" s="258"/>
      <c r="S85" s="31"/>
      <c r="T85" s="31"/>
      <c r="U85" s="31"/>
      <c r="V85" s="2"/>
      <c r="W85" s="2"/>
      <c r="X85" s="2"/>
    </row>
    <row r="86" spans="1:24" s="52" customFormat="1" x14ac:dyDescent="0.3">
      <c r="A86" s="53">
        <v>49</v>
      </c>
      <c r="B86" s="59">
        <v>79</v>
      </c>
      <c r="C86" s="154">
        <v>43959</v>
      </c>
      <c r="D86" s="155"/>
      <c r="E86" s="156"/>
      <c r="F86" s="575"/>
      <c r="G86" s="179">
        <f t="shared" si="8"/>
        <v>1000</v>
      </c>
      <c r="H86" s="572"/>
      <c r="I86" s="572"/>
      <c r="J86" s="572"/>
      <c r="K86" s="578"/>
      <c r="L86" s="572"/>
      <c r="M86" s="172"/>
      <c r="N86" s="172"/>
      <c r="O86" s="172"/>
      <c r="P86" s="172"/>
      <c r="Q86" s="258"/>
      <c r="R86" s="258"/>
      <c r="S86" s="31"/>
      <c r="T86" s="31"/>
      <c r="U86" s="31"/>
      <c r="V86" s="2"/>
      <c r="W86" s="2"/>
      <c r="X86" s="2"/>
    </row>
    <row r="87" spans="1:24" s="52" customFormat="1" ht="19.5" thickBot="1" x14ac:dyDescent="0.35">
      <c r="A87" s="53">
        <v>50</v>
      </c>
      <c r="B87" s="64">
        <v>80</v>
      </c>
      <c r="C87" s="157">
        <v>43960</v>
      </c>
      <c r="D87" s="158"/>
      <c r="E87" s="159"/>
      <c r="F87" s="576"/>
      <c r="G87" s="179">
        <f t="shared" si="8"/>
        <v>1000</v>
      </c>
      <c r="H87" s="573"/>
      <c r="I87" s="573"/>
      <c r="J87" s="573"/>
      <c r="K87" s="579"/>
      <c r="L87" s="573"/>
      <c r="M87" s="172"/>
      <c r="N87" s="172"/>
      <c r="O87" s="172"/>
      <c r="P87" s="172"/>
      <c r="Q87" s="258"/>
      <c r="R87" s="258"/>
      <c r="S87" s="31"/>
      <c r="T87" s="31"/>
      <c r="U87" s="31"/>
      <c r="V87" s="2"/>
      <c r="W87" s="2"/>
      <c r="X87" s="2"/>
    </row>
    <row r="88" spans="1:24" s="52" customFormat="1" x14ac:dyDescent="0.3">
      <c r="A88" s="53">
        <v>51</v>
      </c>
      <c r="B88" s="149">
        <v>81</v>
      </c>
      <c r="C88" s="151">
        <v>43961</v>
      </c>
      <c r="D88" s="152"/>
      <c r="E88" s="153"/>
      <c r="F88" s="574">
        <f>SUM(E88:E97)</f>
        <v>0</v>
      </c>
      <c r="G88" s="179">
        <f>H$88/10</f>
        <v>500</v>
      </c>
      <c r="H88" s="571">
        <v>5000</v>
      </c>
      <c r="I88" s="571"/>
      <c r="J88" s="571"/>
      <c r="K88" s="577">
        <f>H88/SUM(H8+H18+H28+H78+H68+H58+H48+H38-I78-I68-I58-I48-J78-J68-J58-J48-I38-J38-I28-J28-I18-J18-I8-J8)</f>
        <v>3.7244641427214661E-2</v>
      </c>
      <c r="L88" s="571">
        <f>H88*0.05</f>
        <v>250</v>
      </c>
      <c r="M88" s="172"/>
      <c r="N88" s="172"/>
      <c r="O88" s="172"/>
      <c r="P88" s="172"/>
      <c r="Q88" s="258"/>
      <c r="R88" s="258"/>
      <c r="S88" s="31"/>
      <c r="T88" s="31"/>
      <c r="U88" s="31"/>
      <c r="V88" s="2"/>
      <c r="W88" s="2"/>
      <c r="X88" s="2"/>
    </row>
    <row r="89" spans="1:24" s="52" customFormat="1" x14ac:dyDescent="0.3">
      <c r="A89" s="53">
        <v>52</v>
      </c>
      <c r="B89" s="59">
        <v>82</v>
      </c>
      <c r="C89" s="154">
        <v>43962</v>
      </c>
      <c r="D89" s="155"/>
      <c r="E89" s="156"/>
      <c r="F89" s="575"/>
      <c r="G89" s="179">
        <f t="shared" ref="G89:G97" si="9">H$88/10</f>
        <v>500</v>
      </c>
      <c r="H89" s="572"/>
      <c r="I89" s="572"/>
      <c r="J89" s="572"/>
      <c r="K89" s="578"/>
      <c r="L89" s="572"/>
      <c r="M89" s="172"/>
      <c r="N89" s="172"/>
      <c r="O89" s="172"/>
      <c r="P89" s="172"/>
      <c r="Q89" s="258"/>
      <c r="R89" s="258"/>
      <c r="S89" s="31"/>
      <c r="T89" s="31"/>
      <c r="U89" s="31"/>
      <c r="V89" s="2"/>
      <c r="W89" s="2"/>
      <c r="X89" s="2"/>
    </row>
    <row r="90" spans="1:24" s="52" customFormat="1" x14ac:dyDescent="0.3">
      <c r="A90" s="53">
        <v>53</v>
      </c>
      <c r="B90" s="80">
        <v>83</v>
      </c>
      <c r="C90" s="154">
        <v>43963</v>
      </c>
      <c r="D90" s="155"/>
      <c r="E90" s="156"/>
      <c r="F90" s="575"/>
      <c r="G90" s="179">
        <f t="shared" si="9"/>
        <v>500</v>
      </c>
      <c r="H90" s="572"/>
      <c r="I90" s="572"/>
      <c r="J90" s="572"/>
      <c r="K90" s="578"/>
      <c r="L90" s="572"/>
      <c r="M90" s="172"/>
      <c r="N90" s="172"/>
      <c r="O90" s="172"/>
      <c r="P90" s="172"/>
      <c r="Q90" s="258"/>
      <c r="R90" s="258"/>
      <c r="S90" s="31"/>
      <c r="T90" s="31"/>
      <c r="U90" s="31"/>
      <c r="V90" s="2"/>
      <c r="W90" s="2"/>
      <c r="X90" s="2"/>
    </row>
    <row r="91" spans="1:24" s="52" customFormat="1" x14ac:dyDescent="0.3">
      <c r="A91" s="53">
        <v>54</v>
      </c>
      <c r="B91" s="59">
        <v>84</v>
      </c>
      <c r="C91" s="154">
        <v>43964</v>
      </c>
      <c r="D91" s="155"/>
      <c r="E91" s="156"/>
      <c r="F91" s="575"/>
      <c r="G91" s="179">
        <f t="shared" si="9"/>
        <v>500</v>
      </c>
      <c r="H91" s="572"/>
      <c r="I91" s="572"/>
      <c r="J91" s="572"/>
      <c r="K91" s="578"/>
      <c r="L91" s="572"/>
      <c r="M91" s="172"/>
      <c r="N91" s="172"/>
      <c r="O91" s="172"/>
      <c r="P91" s="172"/>
      <c r="Q91" s="258"/>
      <c r="R91" s="258"/>
      <c r="S91" s="31"/>
      <c r="T91" s="31"/>
      <c r="U91" s="31"/>
      <c r="V91" s="2"/>
      <c r="W91" s="2"/>
      <c r="X91" s="2"/>
    </row>
    <row r="92" spans="1:24" s="52" customFormat="1" ht="23.25" customHeight="1" x14ac:dyDescent="0.3">
      <c r="A92" s="53">
        <v>55</v>
      </c>
      <c r="B92" s="59">
        <v>85</v>
      </c>
      <c r="C92" s="154">
        <v>43965</v>
      </c>
      <c r="D92" s="155"/>
      <c r="E92" s="156"/>
      <c r="F92" s="575"/>
      <c r="G92" s="179">
        <f t="shared" si="9"/>
        <v>500</v>
      </c>
      <c r="H92" s="572"/>
      <c r="I92" s="572"/>
      <c r="J92" s="572"/>
      <c r="K92" s="578"/>
      <c r="L92" s="572"/>
      <c r="M92" s="172"/>
      <c r="N92" s="172"/>
      <c r="O92" s="172"/>
      <c r="P92" s="172"/>
      <c r="Q92" s="258"/>
      <c r="R92" s="258"/>
      <c r="S92" s="31"/>
      <c r="T92" s="31"/>
      <c r="U92" s="31"/>
      <c r="V92" s="2"/>
      <c r="W92" s="2"/>
      <c r="X92" s="2"/>
    </row>
    <row r="93" spans="1:24" s="52" customFormat="1" x14ac:dyDescent="0.3">
      <c r="A93" s="53">
        <v>56</v>
      </c>
      <c r="B93" s="59">
        <v>86</v>
      </c>
      <c r="C93" s="154">
        <v>43966</v>
      </c>
      <c r="D93" s="155"/>
      <c r="E93" s="156"/>
      <c r="F93" s="575"/>
      <c r="G93" s="179">
        <f t="shared" si="9"/>
        <v>500</v>
      </c>
      <c r="H93" s="572"/>
      <c r="I93" s="572"/>
      <c r="J93" s="572"/>
      <c r="K93" s="578"/>
      <c r="L93" s="572"/>
      <c r="M93" s="172"/>
      <c r="N93" s="172"/>
      <c r="O93" s="172"/>
      <c r="P93" s="172"/>
      <c r="Q93" s="258"/>
      <c r="R93" s="258"/>
      <c r="S93" s="31"/>
      <c r="T93" s="31"/>
      <c r="U93" s="31"/>
      <c r="V93" s="2"/>
      <c r="W93" s="2"/>
      <c r="X93" s="2"/>
    </row>
    <row r="94" spans="1:24" s="52" customFormat="1" x14ac:dyDescent="0.3">
      <c r="A94" s="53">
        <v>57</v>
      </c>
      <c r="B94" s="59">
        <v>87</v>
      </c>
      <c r="C94" s="154">
        <v>43967</v>
      </c>
      <c r="D94" s="155"/>
      <c r="E94" s="156"/>
      <c r="F94" s="575"/>
      <c r="G94" s="179">
        <f t="shared" si="9"/>
        <v>500</v>
      </c>
      <c r="H94" s="572"/>
      <c r="I94" s="572"/>
      <c r="J94" s="572"/>
      <c r="K94" s="578"/>
      <c r="L94" s="572"/>
      <c r="M94" s="172"/>
      <c r="N94" s="172"/>
      <c r="O94" s="172"/>
      <c r="P94" s="172"/>
      <c r="Q94" s="258"/>
      <c r="R94" s="258"/>
      <c r="S94" s="31"/>
      <c r="T94" s="31"/>
      <c r="U94" s="31"/>
      <c r="V94" s="2"/>
      <c r="W94" s="2"/>
      <c r="X94" s="2"/>
    </row>
    <row r="95" spans="1:24" s="52" customFormat="1" x14ac:dyDescent="0.3">
      <c r="A95" s="53">
        <v>58</v>
      </c>
      <c r="B95" s="59">
        <v>88</v>
      </c>
      <c r="C95" s="154">
        <v>43968</v>
      </c>
      <c r="D95" s="155"/>
      <c r="E95" s="156"/>
      <c r="F95" s="575"/>
      <c r="G95" s="179">
        <f t="shared" si="9"/>
        <v>500</v>
      </c>
      <c r="H95" s="572"/>
      <c r="I95" s="572"/>
      <c r="J95" s="572"/>
      <c r="K95" s="578"/>
      <c r="L95" s="572"/>
      <c r="M95" s="172"/>
      <c r="N95" s="172"/>
      <c r="O95" s="172"/>
      <c r="P95" s="172"/>
      <c r="Q95" s="258"/>
      <c r="R95" s="258"/>
      <c r="S95" s="31"/>
      <c r="T95" s="31"/>
      <c r="U95" s="31"/>
      <c r="V95" s="2"/>
      <c r="W95" s="2"/>
      <c r="X95" s="2"/>
    </row>
    <row r="96" spans="1:24" s="52" customFormat="1" x14ac:dyDescent="0.3">
      <c r="A96" s="53">
        <v>59</v>
      </c>
      <c r="B96" s="59">
        <v>89</v>
      </c>
      <c r="C96" s="154">
        <v>43969</v>
      </c>
      <c r="D96" s="155"/>
      <c r="E96" s="156"/>
      <c r="F96" s="575"/>
      <c r="G96" s="179">
        <f t="shared" si="9"/>
        <v>500</v>
      </c>
      <c r="H96" s="572"/>
      <c r="I96" s="572"/>
      <c r="J96" s="572"/>
      <c r="K96" s="578"/>
      <c r="L96" s="572"/>
      <c r="M96" s="172"/>
      <c r="N96" s="172"/>
      <c r="O96" s="172"/>
      <c r="P96" s="172"/>
      <c r="Q96" s="258"/>
      <c r="R96" s="258"/>
      <c r="S96" s="31"/>
      <c r="T96" s="31"/>
      <c r="U96" s="31"/>
      <c r="V96" s="2"/>
      <c r="W96" s="2"/>
      <c r="X96" s="2"/>
    </row>
    <row r="97" spans="1:24" s="52" customFormat="1" ht="19.5" thickBot="1" x14ac:dyDescent="0.35">
      <c r="A97" s="53">
        <v>60</v>
      </c>
      <c r="B97" s="82">
        <v>90</v>
      </c>
      <c r="C97" s="160">
        <v>43970</v>
      </c>
      <c r="D97" s="161"/>
      <c r="E97" s="162"/>
      <c r="F97" s="576"/>
      <c r="G97" s="179">
        <f t="shared" si="9"/>
        <v>500</v>
      </c>
      <c r="H97" s="573"/>
      <c r="I97" s="573"/>
      <c r="J97" s="573"/>
      <c r="K97" s="579"/>
      <c r="L97" s="573"/>
      <c r="M97" s="172"/>
      <c r="N97" s="172"/>
      <c r="O97" s="172"/>
      <c r="P97" s="172"/>
      <c r="Q97" s="258"/>
      <c r="R97" s="258"/>
      <c r="S97" s="31"/>
      <c r="T97" s="31"/>
      <c r="U97" s="31"/>
      <c r="V97" s="2"/>
      <c r="W97" s="2"/>
      <c r="X97" s="2"/>
    </row>
    <row r="98" spans="1:24" s="52" customFormat="1" x14ac:dyDescent="0.3">
      <c r="A98" s="53">
        <v>61</v>
      </c>
      <c r="B98" s="81">
        <v>91</v>
      </c>
      <c r="C98" s="151">
        <v>43971</v>
      </c>
      <c r="D98" s="168"/>
      <c r="E98" s="153"/>
      <c r="F98" s="574">
        <f>SUM(E98:E107)</f>
        <v>0</v>
      </c>
      <c r="G98" s="179">
        <f>H$98/10</f>
        <v>250</v>
      </c>
      <c r="H98" s="571">
        <v>2500</v>
      </c>
      <c r="I98" s="571"/>
      <c r="J98" s="571"/>
      <c r="K98" s="577">
        <f>H98/SUM(H8+H18+H28+H38+H88+H78+H68+H58+H48-I88-I78-I68-I58-J88-J78-J68-J58-I48-J48-I38-J38-I28-J28-I18-J18-I8-J8)</f>
        <v>1.7953643691987289E-2</v>
      </c>
      <c r="L98" s="571">
        <f>H98*0.05</f>
        <v>125</v>
      </c>
      <c r="M98" s="172"/>
      <c r="N98" s="172"/>
      <c r="O98" s="172"/>
      <c r="P98" s="172"/>
      <c r="Q98" s="258"/>
      <c r="R98" s="258"/>
      <c r="S98" s="31"/>
      <c r="T98" s="31"/>
      <c r="U98" s="31"/>
      <c r="V98" s="2"/>
      <c r="W98" s="2"/>
      <c r="X98" s="2"/>
    </row>
    <row r="99" spans="1:24" s="52" customFormat="1" x14ac:dyDescent="0.3">
      <c r="A99" s="53">
        <v>62</v>
      </c>
      <c r="B99" s="59">
        <v>92</v>
      </c>
      <c r="C99" s="154">
        <v>43972</v>
      </c>
      <c r="D99" s="169"/>
      <c r="E99" s="156"/>
      <c r="F99" s="575"/>
      <c r="G99" s="179">
        <f t="shared" ref="G99:G107" si="10">H$98/10</f>
        <v>250</v>
      </c>
      <c r="H99" s="572"/>
      <c r="I99" s="572"/>
      <c r="J99" s="572"/>
      <c r="K99" s="578"/>
      <c r="L99" s="572"/>
      <c r="M99" s="172"/>
      <c r="N99" s="172"/>
      <c r="O99" s="172"/>
      <c r="P99" s="172"/>
      <c r="Q99" s="258"/>
      <c r="R99" s="258"/>
      <c r="S99" s="31"/>
      <c r="T99" s="31"/>
      <c r="U99" s="31"/>
      <c r="V99" s="2"/>
      <c r="W99" s="2"/>
      <c r="X99" s="2"/>
    </row>
    <row r="100" spans="1:24" s="52" customFormat="1" x14ac:dyDescent="0.3">
      <c r="A100" s="53">
        <v>63</v>
      </c>
      <c r="B100" s="59">
        <v>93</v>
      </c>
      <c r="C100" s="154">
        <v>43973</v>
      </c>
      <c r="D100" s="169"/>
      <c r="E100" s="156"/>
      <c r="F100" s="575"/>
      <c r="G100" s="179">
        <f t="shared" si="10"/>
        <v>250</v>
      </c>
      <c r="H100" s="572"/>
      <c r="I100" s="572"/>
      <c r="J100" s="572"/>
      <c r="K100" s="578"/>
      <c r="L100" s="572"/>
      <c r="M100" s="172"/>
      <c r="N100" s="172"/>
      <c r="O100" s="172"/>
      <c r="P100" s="172"/>
      <c r="Q100" s="258"/>
      <c r="R100" s="258"/>
      <c r="S100" s="31"/>
      <c r="T100" s="31"/>
      <c r="U100" s="31"/>
      <c r="V100" s="2"/>
      <c r="W100" s="2"/>
      <c r="X100" s="2"/>
    </row>
    <row r="101" spans="1:24" s="52" customFormat="1" x14ac:dyDescent="0.3">
      <c r="A101" s="53">
        <v>64</v>
      </c>
      <c r="B101" s="59">
        <v>94</v>
      </c>
      <c r="C101" s="154">
        <v>43974</v>
      </c>
      <c r="D101" s="169"/>
      <c r="E101" s="156"/>
      <c r="F101" s="575"/>
      <c r="G101" s="179">
        <f t="shared" si="10"/>
        <v>250</v>
      </c>
      <c r="H101" s="572"/>
      <c r="I101" s="572"/>
      <c r="J101" s="572"/>
      <c r="K101" s="578"/>
      <c r="L101" s="572"/>
      <c r="M101" s="172"/>
      <c r="N101" s="172"/>
      <c r="O101" s="172"/>
      <c r="P101" s="172"/>
      <c r="Q101" s="258"/>
      <c r="R101" s="258"/>
      <c r="S101" s="31"/>
      <c r="T101" s="31"/>
      <c r="U101" s="31"/>
      <c r="V101" s="2"/>
      <c r="W101" s="2"/>
      <c r="X101" s="2"/>
    </row>
    <row r="102" spans="1:24" s="52" customFormat="1" x14ac:dyDescent="0.3">
      <c r="A102" s="53">
        <v>65</v>
      </c>
      <c r="B102" s="59">
        <v>95</v>
      </c>
      <c r="C102" s="154">
        <v>43975</v>
      </c>
      <c r="D102" s="169"/>
      <c r="E102" s="156"/>
      <c r="F102" s="575"/>
      <c r="G102" s="179">
        <f t="shared" si="10"/>
        <v>250</v>
      </c>
      <c r="H102" s="572"/>
      <c r="I102" s="572"/>
      <c r="J102" s="572"/>
      <c r="K102" s="578"/>
      <c r="L102" s="572"/>
      <c r="M102" s="172"/>
      <c r="N102" s="172"/>
      <c r="O102" s="172"/>
      <c r="P102" s="172"/>
      <c r="Q102" s="258"/>
      <c r="R102" s="258"/>
      <c r="S102" s="31"/>
      <c r="T102" s="31"/>
      <c r="U102" s="31"/>
      <c r="V102" s="2"/>
      <c r="W102" s="2"/>
      <c r="X102" s="2"/>
    </row>
    <row r="103" spans="1:24" s="52" customFormat="1" x14ac:dyDescent="0.3">
      <c r="A103" s="53">
        <v>66</v>
      </c>
      <c r="B103" s="59">
        <v>96</v>
      </c>
      <c r="C103" s="154">
        <v>43976</v>
      </c>
      <c r="D103" s="169"/>
      <c r="E103" s="156"/>
      <c r="F103" s="575"/>
      <c r="G103" s="179">
        <f t="shared" si="10"/>
        <v>250</v>
      </c>
      <c r="H103" s="572"/>
      <c r="I103" s="572"/>
      <c r="J103" s="572"/>
      <c r="K103" s="578"/>
      <c r="L103" s="572"/>
      <c r="M103" s="172"/>
      <c r="N103" s="172"/>
      <c r="O103" s="172"/>
      <c r="P103" s="172"/>
      <c r="Q103" s="258"/>
      <c r="R103" s="258"/>
      <c r="S103" s="31"/>
      <c r="T103" s="31"/>
      <c r="U103" s="31"/>
      <c r="V103" s="2"/>
      <c r="W103" s="2"/>
      <c r="X103" s="2"/>
    </row>
    <row r="104" spans="1:24" s="52" customFormat="1" x14ac:dyDescent="0.3">
      <c r="A104" s="53">
        <v>67</v>
      </c>
      <c r="B104" s="59">
        <v>97</v>
      </c>
      <c r="C104" s="154">
        <v>43977</v>
      </c>
      <c r="D104" s="169"/>
      <c r="E104" s="156"/>
      <c r="F104" s="575"/>
      <c r="G104" s="179">
        <f t="shared" si="10"/>
        <v>250</v>
      </c>
      <c r="H104" s="572"/>
      <c r="I104" s="572"/>
      <c r="J104" s="572"/>
      <c r="K104" s="578"/>
      <c r="L104" s="572"/>
      <c r="M104" s="172"/>
      <c r="N104" s="172"/>
      <c r="O104" s="172"/>
      <c r="P104" s="172"/>
      <c r="Q104" s="258"/>
      <c r="R104" s="258"/>
      <c r="S104" s="31"/>
      <c r="T104" s="31"/>
      <c r="U104" s="31"/>
      <c r="V104" s="2"/>
      <c r="W104" s="2"/>
      <c r="X104" s="2"/>
    </row>
    <row r="105" spans="1:24" s="52" customFormat="1" x14ac:dyDescent="0.3">
      <c r="A105" s="53">
        <v>68</v>
      </c>
      <c r="B105" s="59">
        <v>98</v>
      </c>
      <c r="C105" s="154">
        <v>43978</v>
      </c>
      <c r="D105" s="169"/>
      <c r="E105" s="156"/>
      <c r="F105" s="575"/>
      <c r="G105" s="179">
        <f t="shared" si="10"/>
        <v>250</v>
      </c>
      <c r="H105" s="572"/>
      <c r="I105" s="572"/>
      <c r="J105" s="572"/>
      <c r="K105" s="578"/>
      <c r="L105" s="572"/>
      <c r="M105" s="172"/>
      <c r="N105" s="172"/>
      <c r="O105" s="172"/>
      <c r="P105" s="172"/>
      <c r="Q105" s="258"/>
      <c r="R105" s="258"/>
      <c r="S105" s="31"/>
      <c r="T105" s="31"/>
      <c r="U105" s="31"/>
      <c r="V105" s="2"/>
      <c r="W105" s="2"/>
      <c r="X105" s="2"/>
    </row>
    <row r="106" spans="1:24" s="52" customFormat="1" x14ac:dyDescent="0.3">
      <c r="A106" s="53">
        <v>69</v>
      </c>
      <c r="B106" s="59">
        <v>99</v>
      </c>
      <c r="C106" s="154">
        <v>43979</v>
      </c>
      <c r="D106" s="169"/>
      <c r="E106" s="156"/>
      <c r="F106" s="575"/>
      <c r="G106" s="179">
        <f t="shared" si="10"/>
        <v>250</v>
      </c>
      <c r="H106" s="572"/>
      <c r="I106" s="572"/>
      <c r="J106" s="572"/>
      <c r="K106" s="578"/>
      <c r="L106" s="572"/>
      <c r="M106" s="172"/>
      <c r="N106" s="172"/>
      <c r="O106" s="172"/>
      <c r="P106" s="172"/>
      <c r="Q106" s="258"/>
      <c r="R106" s="258"/>
      <c r="S106" s="31"/>
      <c r="T106" s="31"/>
      <c r="U106" s="31"/>
      <c r="V106" s="2"/>
      <c r="W106" s="2"/>
      <c r="X106" s="2"/>
    </row>
    <row r="107" spans="1:24" s="52" customFormat="1" ht="19.5" thickBot="1" x14ac:dyDescent="0.35">
      <c r="A107" s="53">
        <v>70</v>
      </c>
      <c r="B107" s="82">
        <v>100</v>
      </c>
      <c r="C107" s="160">
        <v>43980</v>
      </c>
      <c r="D107" s="170"/>
      <c r="E107" s="162"/>
      <c r="F107" s="576"/>
      <c r="G107" s="179">
        <f t="shared" si="10"/>
        <v>250</v>
      </c>
      <c r="H107" s="573"/>
      <c r="I107" s="573"/>
      <c r="J107" s="573"/>
      <c r="K107" s="579"/>
      <c r="L107" s="573"/>
      <c r="M107" s="172"/>
      <c r="N107" s="172"/>
      <c r="O107" s="172"/>
      <c r="P107" s="172"/>
      <c r="Q107" s="258"/>
      <c r="R107" s="258"/>
      <c r="S107" s="31"/>
      <c r="T107" s="31"/>
      <c r="U107" s="31"/>
      <c r="V107" s="2"/>
      <c r="W107" s="2"/>
      <c r="X107" s="2"/>
    </row>
    <row r="108" spans="1:24" s="52" customFormat="1" ht="23.25" customHeight="1" x14ac:dyDescent="0.3">
      <c r="A108" s="53">
        <v>71</v>
      </c>
      <c r="B108" s="54">
        <v>101</v>
      </c>
      <c r="C108" s="151">
        <v>43981</v>
      </c>
      <c r="D108" s="168"/>
      <c r="E108" s="153"/>
      <c r="F108" s="574">
        <f>SUM(E108:E117)</f>
        <v>0</v>
      </c>
      <c r="G108" s="179">
        <f>H$108/10</f>
        <v>100</v>
      </c>
      <c r="H108" s="571">
        <v>1000</v>
      </c>
      <c r="I108" s="571"/>
      <c r="J108" s="571"/>
      <c r="K108" s="577">
        <f>H108/SUM(H8+H18+H28+H38+H48+H98+H88+H78+H68+H58-I98-I88-I78-I68-J98-J88-J78-J68-I58-J58-I48-J48-I38-J38-I28-J28-I18-J18-I8-J8)</f>
        <v>7.0547981445880882E-3</v>
      </c>
      <c r="L108" s="571">
        <f>H108*0.05</f>
        <v>50</v>
      </c>
      <c r="M108" s="172"/>
      <c r="N108" s="172"/>
      <c r="O108" s="172"/>
      <c r="P108" s="172"/>
      <c r="Q108" s="258"/>
      <c r="R108" s="258"/>
      <c r="S108" s="31"/>
      <c r="T108" s="31"/>
      <c r="U108" s="31"/>
      <c r="V108" s="2"/>
      <c r="W108" s="2"/>
      <c r="X108" s="2"/>
    </row>
    <row r="109" spans="1:24" s="52" customFormat="1" ht="23.25" customHeight="1" x14ac:dyDescent="0.3">
      <c r="A109" s="53">
        <v>72</v>
      </c>
      <c r="B109" s="59">
        <v>102</v>
      </c>
      <c r="C109" s="154">
        <v>43982</v>
      </c>
      <c r="D109" s="169"/>
      <c r="E109" s="156"/>
      <c r="F109" s="575"/>
      <c r="G109" s="179">
        <f t="shared" ref="G109:G117" si="11">H$108/10</f>
        <v>100</v>
      </c>
      <c r="H109" s="572"/>
      <c r="I109" s="572"/>
      <c r="J109" s="572"/>
      <c r="K109" s="578"/>
      <c r="L109" s="572"/>
      <c r="M109" s="172"/>
      <c r="N109" s="172"/>
      <c r="O109" s="172"/>
      <c r="P109" s="172"/>
      <c r="Q109" s="258"/>
      <c r="R109" s="258"/>
      <c r="S109" s="31"/>
      <c r="T109" s="31"/>
      <c r="U109" s="31"/>
      <c r="V109" s="2"/>
      <c r="W109" s="2"/>
      <c r="X109" s="2"/>
    </row>
    <row r="110" spans="1:24" s="52" customFormat="1" ht="23.25" customHeight="1" x14ac:dyDescent="0.3">
      <c r="A110" s="53">
        <v>73</v>
      </c>
      <c r="B110" s="59">
        <v>103</v>
      </c>
      <c r="C110" s="154">
        <v>43983</v>
      </c>
      <c r="D110" s="169"/>
      <c r="E110" s="156"/>
      <c r="F110" s="575"/>
      <c r="G110" s="179">
        <f t="shared" si="11"/>
        <v>100</v>
      </c>
      <c r="H110" s="572"/>
      <c r="I110" s="572"/>
      <c r="J110" s="572"/>
      <c r="K110" s="578"/>
      <c r="L110" s="572"/>
      <c r="M110" s="172"/>
      <c r="N110" s="172"/>
      <c r="O110" s="172"/>
      <c r="P110" s="172"/>
      <c r="Q110" s="258"/>
      <c r="R110" s="258"/>
      <c r="S110" s="31"/>
      <c r="T110" s="31"/>
      <c r="U110" s="31"/>
      <c r="V110" s="2"/>
      <c r="W110" s="2"/>
      <c r="X110" s="2"/>
    </row>
    <row r="111" spans="1:24" s="52" customFormat="1" ht="23.25" customHeight="1" x14ac:dyDescent="0.3">
      <c r="A111" s="53">
        <v>74</v>
      </c>
      <c r="B111" s="59">
        <v>104</v>
      </c>
      <c r="C111" s="154">
        <v>43984</v>
      </c>
      <c r="D111" s="169"/>
      <c r="E111" s="156"/>
      <c r="F111" s="575"/>
      <c r="G111" s="179">
        <f t="shared" si="11"/>
        <v>100</v>
      </c>
      <c r="H111" s="572"/>
      <c r="I111" s="572"/>
      <c r="J111" s="572"/>
      <c r="K111" s="578"/>
      <c r="L111" s="572"/>
      <c r="M111" s="172"/>
      <c r="N111" s="172"/>
      <c r="O111" s="172"/>
      <c r="P111" s="172"/>
      <c r="Q111" s="258"/>
      <c r="R111" s="258"/>
      <c r="S111" s="31"/>
      <c r="T111" s="31"/>
      <c r="U111" s="31"/>
      <c r="V111" s="2"/>
      <c r="W111" s="2"/>
      <c r="X111" s="2"/>
    </row>
    <row r="112" spans="1:24" s="52" customFormat="1" ht="23.25" customHeight="1" x14ac:dyDescent="0.3">
      <c r="A112" s="53">
        <v>75</v>
      </c>
      <c r="B112" s="59">
        <v>105</v>
      </c>
      <c r="C112" s="154">
        <v>43985</v>
      </c>
      <c r="D112" s="169"/>
      <c r="E112" s="156"/>
      <c r="F112" s="575"/>
      <c r="G112" s="179">
        <f t="shared" si="11"/>
        <v>100</v>
      </c>
      <c r="H112" s="572"/>
      <c r="I112" s="572"/>
      <c r="J112" s="572"/>
      <c r="K112" s="578"/>
      <c r="L112" s="572"/>
      <c r="M112" s="172"/>
      <c r="N112" s="172"/>
      <c r="O112" s="172"/>
      <c r="P112" s="172"/>
      <c r="Q112" s="258"/>
      <c r="R112" s="258"/>
      <c r="S112" s="31"/>
      <c r="T112" s="31"/>
      <c r="U112" s="31"/>
      <c r="V112" s="2"/>
      <c r="W112" s="2"/>
      <c r="X112" s="2"/>
    </row>
    <row r="113" spans="1:24" s="52" customFormat="1" ht="23.25" customHeight="1" x14ac:dyDescent="0.3">
      <c r="A113" s="53">
        <v>76</v>
      </c>
      <c r="B113" s="59">
        <v>106</v>
      </c>
      <c r="C113" s="154">
        <v>43986</v>
      </c>
      <c r="D113" s="169"/>
      <c r="E113" s="156"/>
      <c r="F113" s="575"/>
      <c r="G113" s="179">
        <f t="shared" si="11"/>
        <v>100</v>
      </c>
      <c r="H113" s="572"/>
      <c r="I113" s="572"/>
      <c r="J113" s="572"/>
      <c r="K113" s="578"/>
      <c r="L113" s="572"/>
      <c r="M113" s="172"/>
      <c r="N113" s="172"/>
      <c r="O113" s="172"/>
      <c r="P113" s="172"/>
      <c r="Q113" s="258"/>
      <c r="R113" s="258"/>
      <c r="S113" s="31"/>
      <c r="T113" s="31"/>
      <c r="U113" s="31"/>
      <c r="V113" s="2"/>
      <c r="W113" s="2"/>
      <c r="X113" s="2"/>
    </row>
    <row r="114" spans="1:24" s="52" customFormat="1" ht="23.25" customHeight="1" x14ac:dyDescent="0.3">
      <c r="A114" s="53">
        <v>77</v>
      </c>
      <c r="B114" s="59">
        <v>107</v>
      </c>
      <c r="C114" s="154">
        <v>43987</v>
      </c>
      <c r="D114" s="169"/>
      <c r="E114" s="156"/>
      <c r="F114" s="575"/>
      <c r="G114" s="179">
        <f t="shared" si="11"/>
        <v>100</v>
      </c>
      <c r="H114" s="572"/>
      <c r="I114" s="572"/>
      <c r="J114" s="572"/>
      <c r="K114" s="578"/>
      <c r="L114" s="572"/>
      <c r="M114" s="172"/>
      <c r="N114" s="172"/>
      <c r="O114" s="172"/>
      <c r="P114" s="172"/>
      <c r="Q114" s="258"/>
      <c r="R114" s="258"/>
      <c r="S114" s="31"/>
      <c r="T114" s="31"/>
      <c r="U114" s="31"/>
      <c r="V114" s="2"/>
      <c r="W114" s="2"/>
      <c r="X114" s="2"/>
    </row>
    <row r="115" spans="1:24" s="52" customFormat="1" ht="23.25" customHeight="1" x14ac:dyDescent="0.3">
      <c r="A115" s="53">
        <v>78</v>
      </c>
      <c r="B115" s="59">
        <v>108</v>
      </c>
      <c r="C115" s="154">
        <v>43988</v>
      </c>
      <c r="D115" s="169"/>
      <c r="E115" s="156"/>
      <c r="F115" s="575"/>
      <c r="G115" s="179">
        <f t="shared" si="11"/>
        <v>100</v>
      </c>
      <c r="H115" s="572"/>
      <c r="I115" s="572"/>
      <c r="J115" s="572"/>
      <c r="K115" s="578"/>
      <c r="L115" s="572"/>
      <c r="M115" s="172"/>
      <c r="N115" s="172"/>
      <c r="O115" s="172"/>
      <c r="P115" s="172"/>
      <c r="Q115" s="258"/>
      <c r="R115" s="258"/>
      <c r="S115" s="31"/>
      <c r="T115" s="31"/>
      <c r="U115" s="31"/>
      <c r="V115" s="2"/>
      <c r="W115" s="2"/>
      <c r="X115" s="2"/>
    </row>
    <row r="116" spans="1:24" s="52" customFormat="1" ht="23.25" customHeight="1" x14ac:dyDescent="0.3">
      <c r="A116" s="53">
        <v>79</v>
      </c>
      <c r="B116" s="59">
        <v>109</v>
      </c>
      <c r="C116" s="154">
        <v>43989</v>
      </c>
      <c r="D116" s="169"/>
      <c r="E116" s="156"/>
      <c r="F116" s="575"/>
      <c r="G116" s="179">
        <f t="shared" si="11"/>
        <v>100</v>
      </c>
      <c r="H116" s="572"/>
      <c r="I116" s="572"/>
      <c r="J116" s="572"/>
      <c r="K116" s="578"/>
      <c r="L116" s="572"/>
      <c r="M116" s="172"/>
      <c r="N116" s="172"/>
      <c r="O116" s="172"/>
      <c r="P116" s="172"/>
      <c r="Q116" s="258"/>
      <c r="R116" s="258"/>
      <c r="S116" s="31"/>
      <c r="T116" s="31"/>
      <c r="U116" s="31"/>
      <c r="V116" s="2"/>
      <c r="W116" s="2"/>
      <c r="X116" s="2"/>
    </row>
    <row r="117" spans="1:24" s="52" customFormat="1" ht="24.75" customHeight="1" thickBot="1" x14ac:dyDescent="0.35">
      <c r="A117" s="53">
        <v>80</v>
      </c>
      <c r="B117" s="64">
        <v>110</v>
      </c>
      <c r="C117" s="157">
        <v>43990</v>
      </c>
      <c r="D117" s="171"/>
      <c r="E117" s="159"/>
      <c r="F117" s="576"/>
      <c r="G117" s="179">
        <f t="shared" si="11"/>
        <v>100</v>
      </c>
      <c r="H117" s="573"/>
      <c r="I117" s="573"/>
      <c r="J117" s="573"/>
      <c r="K117" s="579"/>
      <c r="L117" s="573"/>
      <c r="M117" s="172"/>
      <c r="N117" s="172"/>
      <c r="O117" s="172"/>
      <c r="P117" s="172"/>
      <c r="Q117" s="258"/>
      <c r="R117" s="258"/>
      <c r="S117" s="31"/>
      <c r="T117" s="31"/>
      <c r="U117" s="31"/>
      <c r="V117" s="2"/>
      <c r="W117" s="2"/>
      <c r="X117" s="2"/>
    </row>
    <row r="118" spans="1:24" s="52" customFormat="1" ht="18" customHeight="1" x14ac:dyDescent="0.3">
      <c r="A118" s="53">
        <v>81</v>
      </c>
      <c r="B118" s="54">
        <v>111</v>
      </c>
      <c r="C118" s="151">
        <v>43991</v>
      </c>
      <c r="D118" s="168"/>
      <c r="E118" s="153"/>
      <c r="F118" s="574">
        <f>SUM(E118:E127)</f>
        <v>0</v>
      </c>
      <c r="G118" s="179">
        <f>H$118/10</f>
        <v>50</v>
      </c>
      <c r="H118" s="571">
        <v>500</v>
      </c>
      <c r="I118" s="571"/>
      <c r="J118" s="571"/>
      <c r="K118" s="577">
        <f>H118/SUM(H8+H18+H28+H38+H48+H58+H108+H98+H88+H78+H68-I108-I98-I88-I78-J108-J98-J88-J78-I68-J68-I58-J58-I48-J48-I38-J38-I28-J28-I18-J18-I8-J8)</f>
        <v>3.5026883132804427E-3</v>
      </c>
      <c r="L118" s="571">
        <f>H118*0.05</f>
        <v>25</v>
      </c>
      <c r="M118" s="172"/>
      <c r="N118" s="172"/>
      <c r="O118" s="172"/>
      <c r="P118" s="172"/>
      <c r="Q118" s="258"/>
      <c r="R118" s="258"/>
      <c r="S118" s="31"/>
      <c r="T118" s="31"/>
      <c r="U118" s="31"/>
      <c r="V118" s="2"/>
      <c r="W118" s="2"/>
      <c r="X118" s="2"/>
    </row>
    <row r="119" spans="1:24" s="52" customFormat="1" ht="18" customHeight="1" x14ac:dyDescent="0.3">
      <c r="A119" s="53">
        <v>82</v>
      </c>
      <c r="B119" s="59">
        <v>112</v>
      </c>
      <c r="C119" s="154">
        <v>43992</v>
      </c>
      <c r="D119" s="169"/>
      <c r="E119" s="156"/>
      <c r="F119" s="575"/>
      <c r="G119" s="179">
        <f t="shared" ref="G119:G127" si="12">H$118/10</f>
        <v>50</v>
      </c>
      <c r="H119" s="572"/>
      <c r="I119" s="572"/>
      <c r="J119" s="572"/>
      <c r="K119" s="578"/>
      <c r="L119" s="572"/>
      <c r="M119" s="172"/>
      <c r="N119" s="172"/>
      <c r="O119" s="172"/>
      <c r="P119" s="172"/>
      <c r="Q119" s="258"/>
      <c r="R119" s="258"/>
      <c r="S119" s="31"/>
      <c r="T119" s="31"/>
      <c r="U119" s="31"/>
      <c r="V119" s="2"/>
      <c r="W119" s="2"/>
      <c r="X119" s="2"/>
    </row>
    <row r="120" spans="1:24" s="52" customFormat="1" ht="18" customHeight="1" x14ac:dyDescent="0.3">
      <c r="A120" s="53">
        <v>83</v>
      </c>
      <c r="B120" s="59">
        <v>113</v>
      </c>
      <c r="C120" s="154">
        <v>43993</v>
      </c>
      <c r="D120" s="169"/>
      <c r="E120" s="156"/>
      <c r="F120" s="575"/>
      <c r="G120" s="179">
        <f t="shared" si="12"/>
        <v>50</v>
      </c>
      <c r="H120" s="572"/>
      <c r="I120" s="572"/>
      <c r="J120" s="572"/>
      <c r="K120" s="578"/>
      <c r="L120" s="572"/>
      <c r="M120" s="172"/>
      <c r="N120" s="172"/>
      <c r="O120" s="172"/>
      <c r="P120" s="172"/>
      <c r="Q120" s="258"/>
      <c r="R120" s="258"/>
      <c r="S120" s="31"/>
      <c r="T120" s="31"/>
      <c r="U120" s="31"/>
      <c r="V120" s="2"/>
      <c r="W120" s="2"/>
      <c r="X120" s="2"/>
    </row>
    <row r="121" spans="1:24" s="52" customFormat="1" ht="18" customHeight="1" x14ac:dyDescent="0.3">
      <c r="A121" s="53">
        <v>84</v>
      </c>
      <c r="B121" s="59">
        <v>114</v>
      </c>
      <c r="C121" s="154">
        <v>43994</v>
      </c>
      <c r="D121" s="169"/>
      <c r="E121" s="156"/>
      <c r="F121" s="575"/>
      <c r="G121" s="179">
        <f t="shared" si="12"/>
        <v>50</v>
      </c>
      <c r="H121" s="572"/>
      <c r="I121" s="572"/>
      <c r="J121" s="572"/>
      <c r="K121" s="578"/>
      <c r="L121" s="572"/>
      <c r="M121" s="172"/>
      <c r="N121" s="172"/>
      <c r="O121" s="172"/>
      <c r="P121" s="172"/>
      <c r="Q121" s="258"/>
      <c r="R121" s="258"/>
      <c r="S121" s="31"/>
      <c r="T121" s="31"/>
      <c r="U121" s="31"/>
      <c r="V121" s="2"/>
      <c r="W121" s="2"/>
      <c r="X121" s="2"/>
    </row>
    <row r="122" spans="1:24" s="52" customFormat="1" ht="18" customHeight="1" x14ac:dyDescent="0.3">
      <c r="A122" s="53">
        <v>85</v>
      </c>
      <c r="B122" s="59">
        <v>115</v>
      </c>
      <c r="C122" s="154">
        <v>43995</v>
      </c>
      <c r="D122" s="169"/>
      <c r="E122" s="156"/>
      <c r="F122" s="575"/>
      <c r="G122" s="179">
        <f t="shared" si="12"/>
        <v>50</v>
      </c>
      <c r="H122" s="572"/>
      <c r="I122" s="572"/>
      <c r="J122" s="572"/>
      <c r="K122" s="578"/>
      <c r="L122" s="572"/>
      <c r="M122" s="172"/>
      <c r="N122" s="172"/>
      <c r="O122" s="172"/>
      <c r="P122" s="172"/>
      <c r="Q122" s="258"/>
      <c r="R122" s="258"/>
      <c r="S122" s="31"/>
      <c r="T122" s="31"/>
      <c r="U122" s="31"/>
      <c r="V122" s="2"/>
      <c r="W122" s="2"/>
      <c r="X122" s="2"/>
    </row>
    <row r="123" spans="1:24" s="52" customFormat="1" ht="18" customHeight="1" x14ac:dyDescent="0.3">
      <c r="A123" s="53">
        <v>86</v>
      </c>
      <c r="B123" s="59">
        <v>116</v>
      </c>
      <c r="C123" s="154">
        <v>43996</v>
      </c>
      <c r="D123" s="169"/>
      <c r="E123" s="156"/>
      <c r="F123" s="575"/>
      <c r="G123" s="179">
        <f t="shared" si="12"/>
        <v>50</v>
      </c>
      <c r="H123" s="572"/>
      <c r="I123" s="572"/>
      <c r="J123" s="572"/>
      <c r="K123" s="578"/>
      <c r="L123" s="572"/>
      <c r="M123" s="172"/>
      <c r="N123" s="172"/>
      <c r="O123" s="172"/>
      <c r="P123" s="172"/>
      <c r="Q123" s="258"/>
      <c r="R123" s="258"/>
      <c r="S123" s="31"/>
      <c r="T123" s="31"/>
      <c r="U123" s="31"/>
      <c r="V123" s="2"/>
      <c r="W123" s="2"/>
      <c r="X123" s="2"/>
    </row>
    <row r="124" spans="1:24" s="52" customFormat="1" ht="18" customHeight="1" x14ac:dyDescent="0.3">
      <c r="A124" s="53">
        <v>87</v>
      </c>
      <c r="B124" s="59">
        <v>117</v>
      </c>
      <c r="C124" s="154">
        <v>43997</v>
      </c>
      <c r="D124" s="169"/>
      <c r="E124" s="156"/>
      <c r="F124" s="575"/>
      <c r="G124" s="179">
        <f t="shared" si="12"/>
        <v>50</v>
      </c>
      <c r="H124" s="572"/>
      <c r="I124" s="572"/>
      <c r="J124" s="572"/>
      <c r="K124" s="578"/>
      <c r="L124" s="572"/>
      <c r="M124" s="172"/>
      <c r="N124" s="172"/>
      <c r="O124" s="172"/>
      <c r="P124" s="172"/>
      <c r="Q124" s="258"/>
      <c r="R124" s="258"/>
      <c r="S124" s="31"/>
      <c r="T124" s="31"/>
      <c r="U124" s="31"/>
      <c r="V124" s="2"/>
      <c r="W124" s="2"/>
      <c r="X124" s="2"/>
    </row>
    <row r="125" spans="1:24" s="52" customFormat="1" ht="18" customHeight="1" x14ac:dyDescent="0.3">
      <c r="A125" s="53">
        <v>88</v>
      </c>
      <c r="B125" s="59">
        <v>118</v>
      </c>
      <c r="C125" s="154">
        <v>43998</v>
      </c>
      <c r="D125" s="169"/>
      <c r="E125" s="156"/>
      <c r="F125" s="575"/>
      <c r="G125" s="179">
        <f t="shared" si="12"/>
        <v>50</v>
      </c>
      <c r="H125" s="572"/>
      <c r="I125" s="572"/>
      <c r="J125" s="572"/>
      <c r="K125" s="578"/>
      <c r="L125" s="572"/>
      <c r="M125" s="172"/>
      <c r="N125" s="172"/>
      <c r="O125" s="172"/>
      <c r="P125" s="172"/>
      <c r="Q125" s="258"/>
      <c r="R125" s="258"/>
      <c r="S125" s="31"/>
      <c r="T125" s="31"/>
      <c r="U125" s="31"/>
      <c r="V125" s="2"/>
      <c r="W125" s="2"/>
      <c r="X125" s="2"/>
    </row>
    <row r="126" spans="1:24" s="52" customFormat="1" ht="18" customHeight="1" x14ac:dyDescent="0.3">
      <c r="A126" s="53">
        <v>89</v>
      </c>
      <c r="B126" s="59">
        <v>119</v>
      </c>
      <c r="C126" s="154">
        <v>43999</v>
      </c>
      <c r="D126" s="169"/>
      <c r="E126" s="156"/>
      <c r="F126" s="575"/>
      <c r="G126" s="179">
        <f t="shared" si="12"/>
        <v>50</v>
      </c>
      <c r="H126" s="572"/>
      <c r="I126" s="572"/>
      <c r="J126" s="572"/>
      <c r="K126" s="578"/>
      <c r="L126" s="572"/>
      <c r="M126" s="172"/>
      <c r="N126" s="172"/>
      <c r="O126" s="172"/>
      <c r="P126" s="172"/>
      <c r="Q126" s="258"/>
      <c r="R126" s="258"/>
      <c r="S126" s="31"/>
      <c r="T126" s="31"/>
      <c r="U126" s="31"/>
      <c r="V126" s="2"/>
      <c r="W126" s="2"/>
      <c r="X126" s="2"/>
    </row>
    <row r="127" spans="1:24" s="52" customFormat="1" ht="18.600000000000001" customHeight="1" thickBot="1" x14ac:dyDescent="0.35">
      <c r="A127" s="53">
        <v>90</v>
      </c>
      <c r="B127" s="64">
        <v>120</v>
      </c>
      <c r="C127" s="157">
        <v>44000</v>
      </c>
      <c r="D127" s="171"/>
      <c r="E127" s="159"/>
      <c r="F127" s="576"/>
      <c r="G127" s="179">
        <f t="shared" si="12"/>
        <v>50</v>
      </c>
      <c r="H127" s="573"/>
      <c r="I127" s="573"/>
      <c r="J127" s="573"/>
      <c r="K127" s="579"/>
      <c r="L127" s="573"/>
      <c r="M127" s="172"/>
      <c r="N127" s="172"/>
      <c r="O127" s="172"/>
      <c r="P127" s="172"/>
      <c r="Q127" s="258"/>
      <c r="R127" s="258"/>
      <c r="S127" s="31"/>
      <c r="T127" s="31"/>
      <c r="U127" s="31"/>
      <c r="V127" s="2"/>
      <c r="W127" s="2"/>
      <c r="X127" s="2"/>
    </row>
    <row r="128" spans="1:24" x14ac:dyDescent="0.3">
      <c r="A128" s="85"/>
      <c r="B128" s="85"/>
      <c r="C128" s="163"/>
      <c r="D128" s="84"/>
      <c r="E128" s="554" t="s">
        <v>24</v>
      </c>
      <c r="F128" s="554"/>
      <c r="G128" s="314">
        <f>SUM(G8:G127)</f>
        <v>171086.5</v>
      </c>
      <c r="H128" s="314">
        <f>SUM(H8:H127)</f>
        <v>171086.5</v>
      </c>
      <c r="I128" s="314"/>
      <c r="J128" s="314"/>
      <c r="K128" s="321"/>
      <c r="L128" s="322">
        <f>'App.2(ICU-vent. cap)'!F6</f>
        <v>7332.7210236000001</v>
      </c>
      <c r="N128" s="140"/>
      <c r="O128" s="140"/>
      <c r="P128" s="24"/>
      <c r="Q128" s="3"/>
      <c r="R128" s="3"/>
      <c r="S128" s="3"/>
      <c r="T128" s="3"/>
      <c r="U128" s="3"/>
      <c r="V128" s="3"/>
      <c r="W128" s="3"/>
      <c r="X128" s="3"/>
    </row>
  </sheetData>
  <mergeCells count="75">
    <mergeCell ref="F78:F87"/>
    <mergeCell ref="F88:F97"/>
    <mergeCell ref="F98:F107"/>
    <mergeCell ref="F108:F117"/>
    <mergeCell ref="F118:F127"/>
    <mergeCell ref="H118:H127"/>
    <mergeCell ref="I118:I127"/>
    <mergeCell ref="J118:J127"/>
    <mergeCell ref="K118:K127"/>
    <mergeCell ref="L118:L127"/>
    <mergeCell ref="H98:H107"/>
    <mergeCell ref="I98:I107"/>
    <mergeCell ref="J98:J107"/>
    <mergeCell ref="K98:K107"/>
    <mergeCell ref="L98:L107"/>
    <mergeCell ref="H108:H117"/>
    <mergeCell ref="I108:I117"/>
    <mergeCell ref="J108:J117"/>
    <mergeCell ref="K108:K117"/>
    <mergeCell ref="L108:L117"/>
    <mergeCell ref="H78:H87"/>
    <mergeCell ref="I78:I87"/>
    <mergeCell ref="J78:J87"/>
    <mergeCell ref="K78:K87"/>
    <mergeCell ref="L78:L87"/>
    <mergeCell ref="H88:H97"/>
    <mergeCell ref="I88:I97"/>
    <mergeCell ref="J88:J97"/>
    <mergeCell ref="K88:K97"/>
    <mergeCell ref="L88:L97"/>
    <mergeCell ref="L68:L77"/>
    <mergeCell ref="F58:F67"/>
    <mergeCell ref="H58:H67"/>
    <mergeCell ref="I58:I67"/>
    <mergeCell ref="J58:J67"/>
    <mergeCell ref="K58:K67"/>
    <mergeCell ref="L58:L67"/>
    <mergeCell ref="F68:F77"/>
    <mergeCell ref="H68:H77"/>
    <mergeCell ref="I68:I77"/>
    <mergeCell ref="J68:J77"/>
    <mergeCell ref="K68:K77"/>
    <mergeCell ref="L48:L57"/>
    <mergeCell ref="F38:F47"/>
    <mergeCell ref="H38:H47"/>
    <mergeCell ref="I38:I47"/>
    <mergeCell ref="J38:J47"/>
    <mergeCell ref="K38:K47"/>
    <mergeCell ref="L38:L47"/>
    <mergeCell ref="F48:F57"/>
    <mergeCell ref="H48:H57"/>
    <mergeCell ref="I48:I57"/>
    <mergeCell ref="J48:J57"/>
    <mergeCell ref="K48:K57"/>
    <mergeCell ref="F28:F37"/>
    <mergeCell ref="H28:H37"/>
    <mergeCell ref="I28:I37"/>
    <mergeCell ref="J28:J37"/>
    <mergeCell ref="K28:K37"/>
    <mergeCell ref="E128:F128"/>
    <mergeCell ref="A5:L5"/>
    <mergeCell ref="A6:L6"/>
    <mergeCell ref="F8:F17"/>
    <mergeCell ref="H8:H17"/>
    <mergeCell ref="I8:I17"/>
    <mergeCell ref="J8:J17"/>
    <mergeCell ref="K8:K17"/>
    <mergeCell ref="L8:L17"/>
    <mergeCell ref="L28:L37"/>
    <mergeCell ref="F18:F27"/>
    <mergeCell ref="H18:H27"/>
    <mergeCell ref="I18:I27"/>
    <mergeCell ref="J18:J27"/>
    <mergeCell ref="K18:K27"/>
    <mergeCell ref="L18:L27"/>
  </mergeCells>
  <printOptions gridLines="1"/>
  <pageMargins left="0" right="0" top="0" bottom="0" header="0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4"/>
  <sheetViews>
    <sheetView zoomScale="80" zoomScaleNormal="80" workbookViewId="0">
      <selection sqref="A1:L1"/>
    </sheetView>
  </sheetViews>
  <sheetFormatPr defaultColWidth="8.85546875" defaultRowHeight="18.75" x14ac:dyDescent="0.3"/>
  <cols>
    <col min="1" max="1" width="12.7109375" style="185" customWidth="1"/>
    <col min="2" max="2" width="4.28515625" style="185" bestFit="1" customWidth="1"/>
    <col min="3" max="3" width="9.140625" style="184" bestFit="1" customWidth="1"/>
    <col min="4" max="4" width="10" style="182" customWidth="1"/>
    <col min="5" max="5" width="9" style="182" bestFit="1" customWidth="1"/>
    <col min="6" max="6" width="11.7109375" style="182" customWidth="1"/>
    <col min="7" max="7" width="18" style="182" bestFit="1" customWidth="1"/>
    <col min="8" max="8" width="14" style="182" customWidth="1"/>
    <col min="9" max="9" width="10.28515625" style="182" bestFit="1" customWidth="1"/>
    <col min="10" max="10" width="9.85546875" style="182" customWidth="1"/>
    <col min="11" max="11" width="21.28515625" style="183" customWidth="1"/>
    <col min="12" max="12" width="12.28515625" style="182" bestFit="1" customWidth="1"/>
    <col min="13" max="13" width="8.85546875" style="52"/>
    <col min="14" max="14" width="13.42578125" style="52" customWidth="1"/>
    <col min="15" max="15" width="27.7109375" style="52" customWidth="1"/>
    <col min="16" max="16" width="21.5703125" style="52" customWidth="1"/>
    <col min="17" max="17" width="9.140625" style="31" customWidth="1"/>
    <col min="18" max="18" width="5.7109375" style="31" customWidth="1"/>
    <col min="19" max="19" width="8.85546875" style="31"/>
    <col min="20" max="20" width="9.140625" style="31" customWidth="1"/>
    <col min="21" max="21" width="8.85546875" style="31"/>
    <col min="22" max="24" width="8.85546875" style="2"/>
    <col min="25" max="16384" width="8.85546875" style="3"/>
  </cols>
  <sheetData>
    <row r="1" spans="1:18" ht="19.5" thickBot="1" x14ac:dyDescent="0.3">
      <c r="A1" s="547" t="s">
        <v>150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9"/>
      <c r="M1" s="172"/>
      <c r="N1" s="172"/>
      <c r="O1" s="172"/>
      <c r="P1" s="172"/>
      <c r="Q1" s="258"/>
      <c r="R1" s="258"/>
    </row>
    <row r="2" spans="1:18" ht="19.5" thickBot="1" x14ac:dyDescent="0.3">
      <c r="A2" s="550" t="s">
        <v>132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2"/>
      <c r="M2" s="172"/>
      <c r="N2" s="172"/>
      <c r="O2" s="172"/>
      <c r="P2" s="172"/>
      <c r="Q2" s="258"/>
      <c r="R2" s="258"/>
    </row>
    <row r="3" spans="1:18" ht="71.25" customHeight="1" thickBot="1" x14ac:dyDescent="0.3">
      <c r="A3" s="315" t="s">
        <v>139</v>
      </c>
      <c r="B3" s="316" t="s">
        <v>20</v>
      </c>
      <c r="C3" s="317" t="s">
        <v>18</v>
      </c>
      <c r="D3" s="318" t="s">
        <v>40</v>
      </c>
      <c r="E3" s="318" t="s">
        <v>39</v>
      </c>
      <c r="F3" s="318" t="s">
        <v>37</v>
      </c>
      <c r="G3" s="318" t="s">
        <v>38</v>
      </c>
      <c r="H3" s="318" t="s">
        <v>41</v>
      </c>
      <c r="I3" s="319" t="s">
        <v>71</v>
      </c>
      <c r="J3" s="319" t="s">
        <v>43</v>
      </c>
      <c r="K3" s="320" t="s">
        <v>129</v>
      </c>
      <c r="L3" s="318" t="s">
        <v>42</v>
      </c>
      <c r="M3" s="172"/>
      <c r="N3" s="172"/>
      <c r="O3" s="172"/>
      <c r="P3" s="172"/>
      <c r="Q3" s="258"/>
      <c r="R3" s="258"/>
    </row>
    <row r="4" spans="1:18" x14ac:dyDescent="0.25">
      <c r="A4" s="260"/>
      <c r="B4" s="261">
        <v>1</v>
      </c>
      <c r="C4" s="192">
        <v>43876</v>
      </c>
      <c r="D4" s="193">
        <v>2</v>
      </c>
      <c r="E4" s="194">
        <f>D4</f>
        <v>2</v>
      </c>
      <c r="F4" s="503">
        <f>SUM(E4:E13)</f>
        <v>3</v>
      </c>
      <c r="G4" s="195">
        <f>F$4/10</f>
        <v>0.3</v>
      </c>
      <c r="H4" s="538">
        <f>SUM(G4:G13)</f>
        <v>2.9999999999999996</v>
      </c>
      <c r="I4" s="538">
        <v>0</v>
      </c>
      <c r="J4" s="538">
        <v>0</v>
      </c>
      <c r="K4" s="544" t="s">
        <v>26</v>
      </c>
      <c r="L4" s="538">
        <f>H4*0.05</f>
        <v>0.15</v>
      </c>
      <c r="M4" s="172"/>
      <c r="N4" s="172"/>
      <c r="O4" s="172"/>
      <c r="P4" s="172"/>
      <c r="Q4" s="258"/>
      <c r="R4" s="258"/>
    </row>
    <row r="5" spans="1:18" x14ac:dyDescent="0.25">
      <c r="A5" s="260"/>
      <c r="B5" s="262">
        <v>2</v>
      </c>
      <c r="C5" s="196">
        <v>43877</v>
      </c>
      <c r="D5" s="197">
        <v>2</v>
      </c>
      <c r="E5" s="198">
        <f>D5-D4</f>
        <v>0</v>
      </c>
      <c r="F5" s="504"/>
      <c r="G5" s="195">
        <f t="shared" ref="G5:G13" si="0">F$4/10</f>
        <v>0.3</v>
      </c>
      <c r="H5" s="539"/>
      <c r="I5" s="539"/>
      <c r="J5" s="539"/>
      <c r="K5" s="545"/>
      <c r="L5" s="539"/>
      <c r="M5" s="172"/>
      <c r="N5" s="172"/>
      <c r="O5" s="172"/>
      <c r="P5" s="172"/>
      <c r="Q5" s="258"/>
      <c r="R5" s="258"/>
    </row>
    <row r="6" spans="1:18" x14ac:dyDescent="0.25">
      <c r="A6" s="260"/>
      <c r="B6" s="262">
        <v>3</v>
      </c>
      <c r="C6" s="196">
        <v>43878</v>
      </c>
      <c r="D6" s="197">
        <v>2</v>
      </c>
      <c r="E6" s="198">
        <f t="shared" ref="E6:E43" si="1">D6-D5</f>
        <v>0</v>
      </c>
      <c r="F6" s="504"/>
      <c r="G6" s="195">
        <f t="shared" si="0"/>
        <v>0.3</v>
      </c>
      <c r="H6" s="539"/>
      <c r="I6" s="539"/>
      <c r="J6" s="539"/>
      <c r="K6" s="545"/>
      <c r="L6" s="539"/>
      <c r="M6" s="172"/>
      <c r="N6" s="172"/>
      <c r="O6" s="172"/>
      <c r="P6" s="172"/>
      <c r="Q6" s="258"/>
      <c r="R6" s="258"/>
    </row>
    <row r="7" spans="1:18" x14ac:dyDescent="0.25">
      <c r="A7" s="260"/>
      <c r="B7" s="262">
        <v>4</v>
      </c>
      <c r="C7" s="196">
        <v>43879</v>
      </c>
      <c r="D7" s="197">
        <v>2</v>
      </c>
      <c r="E7" s="198">
        <f t="shared" si="1"/>
        <v>0</v>
      </c>
      <c r="F7" s="504"/>
      <c r="G7" s="195">
        <f t="shared" si="0"/>
        <v>0.3</v>
      </c>
      <c r="H7" s="539"/>
      <c r="I7" s="539"/>
      <c r="J7" s="539"/>
      <c r="K7" s="545"/>
      <c r="L7" s="539"/>
      <c r="M7" s="172"/>
      <c r="N7" s="172"/>
      <c r="O7" s="172"/>
      <c r="P7" s="172"/>
      <c r="Q7" s="258"/>
      <c r="R7" s="258"/>
    </row>
    <row r="8" spans="1:18" x14ac:dyDescent="0.25">
      <c r="A8" s="260"/>
      <c r="B8" s="262">
        <v>5</v>
      </c>
      <c r="C8" s="196">
        <v>43880</v>
      </c>
      <c r="D8" s="199">
        <v>2</v>
      </c>
      <c r="E8" s="198">
        <f t="shared" si="1"/>
        <v>0</v>
      </c>
      <c r="F8" s="504"/>
      <c r="G8" s="195">
        <f t="shared" si="0"/>
        <v>0.3</v>
      </c>
      <c r="H8" s="539"/>
      <c r="I8" s="539"/>
      <c r="J8" s="539"/>
      <c r="K8" s="545"/>
      <c r="L8" s="539"/>
      <c r="M8" s="172"/>
      <c r="N8" s="172"/>
      <c r="O8" s="172"/>
      <c r="P8" s="172"/>
      <c r="Q8" s="258"/>
      <c r="R8" s="258"/>
    </row>
    <row r="9" spans="1:18" x14ac:dyDescent="0.25">
      <c r="A9" s="260"/>
      <c r="B9" s="262">
        <v>6</v>
      </c>
      <c r="C9" s="196">
        <v>43881</v>
      </c>
      <c r="D9" s="197">
        <v>2</v>
      </c>
      <c r="E9" s="198">
        <f t="shared" si="1"/>
        <v>0</v>
      </c>
      <c r="F9" s="504"/>
      <c r="G9" s="195">
        <f t="shared" si="0"/>
        <v>0.3</v>
      </c>
      <c r="H9" s="539"/>
      <c r="I9" s="539"/>
      <c r="J9" s="539"/>
      <c r="K9" s="545"/>
      <c r="L9" s="539"/>
      <c r="M9" s="172"/>
      <c r="N9" s="172"/>
      <c r="O9" s="172"/>
      <c r="P9" s="172"/>
      <c r="Q9" s="258"/>
      <c r="R9" s="258"/>
    </row>
    <row r="10" spans="1:18" x14ac:dyDescent="0.25">
      <c r="A10" s="260"/>
      <c r="B10" s="262">
        <v>7</v>
      </c>
      <c r="C10" s="196">
        <v>43882</v>
      </c>
      <c r="D10" s="197">
        <v>2</v>
      </c>
      <c r="E10" s="198">
        <f t="shared" si="1"/>
        <v>0</v>
      </c>
      <c r="F10" s="504"/>
      <c r="G10" s="195">
        <f t="shared" si="0"/>
        <v>0.3</v>
      </c>
      <c r="H10" s="539"/>
      <c r="I10" s="539"/>
      <c r="J10" s="539"/>
      <c r="K10" s="545"/>
      <c r="L10" s="539"/>
      <c r="M10" s="172"/>
      <c r="N10" s="172"/>
      <c r="O10" s="172"/>
      <c r="P10" s="172"/>
      <c r="Q10" s="258"/>
      <c r="R10" s="258"/>
    </row>
    <row r="11" spans="1:18" x14ac:dyDescent="0.25">
      <c r="A11" s="260"/>
      <c r="B11" s="262">
        <v>8</v>
      </c>
      <c r="C11" s="196">
        <v>43883</v>
      </c>
      <c r="D11" s="197">
        <v>2</v>
      </c>
      <c r="E11" s="198">
        <f t="shared" si="1"/>
        <v>0</v>
      </c>
      <c r="F11" s="504"/>
      <c r="G11" s="195">
        <f t="shared" si="0"/>
        <v>0.3</v>
      </c>
      <c r="H11" s="539"/>
      <c r="I11" s="539"/>
      <c r="J11" s="539"/>
      <c r="K11" s="545"/>
      <c r="L11" s="539"/>
      <c r="M11" s="172"/>
      <c r="N11" s="172"/>
      <c r="O11" s="172"/>
      <c r="P11" s="172"/>
      <c r="Q11" s="258"/>
      <c r="R11" s="258"/>
    </row>
    <row r="12" spans="1:18" x14ac:dyDescent="0.25">
      <c r="A12" s="260"/>
      <c r="B12" s="262">
        <v>9</v>
      </c>
      <c r="C12" s="196">
        <v>43884</v>
      </c>
      <c r="D12" s="197">
        <v>2</v>
      </c>
      <c r="E12" s="198">
        <f t="shared" si="1"/>
        <v>0</v>
      </c>
      <c r="F12" s="504"/>
      <c r="G12" s="195">
        <f t="shared" si="0"/>
        <v>0.3</v>
      </c>
      <c r="H12" s="539"/>
      <c r="I12" s="539"/>
      <c r="J12" s="539"/>
      <c r="K12" s="545"/>
      <c r="L12" s="539"/>
      <c r="M12" s="172"/>
      <c r="N12" s="172"/>
      <c r="O12" s="172"/>
      <c r="P12" s="172"/>
      <c r="Q12" s="258"/>
      <c r="R12" s="258"/>
    </row>
    <row r="13" spans="1:18" ht="19.5" thickBot="1" x14ac:dyDescent="0.3">
      <c r="A13" s="260"/>
      <c r="B13" s="263">
        <v>10</v>
      </c>
      <c r="C13" s="200">
        <v>43885</v>
      </c>
      <c r="D13" s="201">
        <v>3</v>
      </c>
      <c r="E13" s="202">
        <f t="shared" si="1"/>
        <v>1</v>
      </c>
      <c r="F13" s="505"/>
      <c r="G13" s="195">
        <f t="shared" si="0"/>
        <v>0.3</v>
      </c>
      <c r="H13" s="540"/>
      <c r="I13" s="540"/>
      <c r="J13" s="540"/>
      <c r="K13" s="546"/>
      <c r="L13" s="540"/>
      <c r="M13" s="172"/>
      <c r="N13" s="172"/>
      <c r="O13" s="172"/>
      <c r="P13" s="172"/>
      <c r="Q13" s="258"/>
      <c r="R13" s="258"/>
    </row>
    <row r="14" spans="1:18" x14ac:dyDescent="0.25">
      <c r="A14" s="260"/>
      <c r="B14" s="261">
        <v>11</v>
      </c>
      <c r="C14" s="192">
        <v>43886</v>
      </c>
      <c r="D14" s="193">
        <v>9</v>
      </c>
      <c r="E14" s="194">
        <f t="shared" si="1"/>
        <v>6</v>
      </c>
      <c r="F14" s="503">
        <f>SUM(E14:E23)</f>
        <v>279</v>
      </c>
      <c r="G14" s="195">
        <f>F$14/10</f>
        <v>27.9</v>
      </c>
      <c r="H14" s="538">
        <f>SUM(G14:G23)</f>
        <v>279</v>
      </c>
      <c r="I14" s="538">
        <v>1</v>
      </c>
      <c r="J14" s="538">
        <v>3</v>
      </c>
      <c r="K14" s="544">
        <f>H14/(H4-I4-J4)</f>
        <v>93.000000000000014</v>
      </c>
      <c r="L14" s="538">
        <f>H14*0.05</f>
        <v>13.950000000000001</v>
      </c>
      <c r="M14" s="172"/>
      <c r="N14" s="172"/>
      <c r="O14" s="172"/>
      <c r="P14" s="172"/>
      <c r="Q14" s="258"/>
      <c r="R14" s="258"/>
    </row>
    <row r="15" spans="1:18" x14ac:dyDescent="0.25">
      <c r="A15" s="260"/>
      <c r="B15" s="262">
        <v>12</v>
      </c>
      <c r="C15" s="196">
        <v>43887</v>
      </c>
      <c r="D15" s="197">
        <v>13</v>
      </c>
      <c r="E15" s="198">
        <f t="shared" si="1"/>
        <v>4</v>
      </c>
      <c r="F15" s="504"/>
      <c r="G15" s="195">
        <f t="shared" ref="G15:G23" si="2">F$14/10</f>
        <v>27.9</v>
      </c>
      <c r="H15" s="539"/>
      <c r="I15" s="539"/>
      <c r="J15" s="539"/>
      <c r="K15" s="545"/>
      <c r="L15" s="539"/>
      <c r="M15" s="172"/>
      <c r="N15" s="172"/>
      <c r="O15" s="172"/>
      <c r="P15" s="172"/>
      <c r="Q15" s="258"/>
      <c r="R15" s="258"/>
    </row>
    <row r="16" spans="1:18" x14ac:dyDescent="0.25">
      <c r="A16" s="260"/>
      <c r="B16" s="262">
        <v>13</v>
      </c>
      <c r="C16" s="196">
        <v>43888</v>
      </c>
      <c r="D16" s="197">
        <v>25</v>
      </c>
      <c r="E16" s="198">
        <f t="shared" si="1"/>
        <v>12</v>
      </c>
      <c r="F16" s="504"/>
      <c r="G16" s="195">
        <f t="shared" si="2"/>
        <v>27.9</v>
      </c>
      <c r="H16" s="539"/>
      <c r="I16" s="539"/>
      <c r="J16" s="539"/>
      <c r="K16" s="545"/>
      <c r="L16" s="539"/>
      <c r="M16" s="172"/>
      <c r="N16" s="172"/>
      <c r="O16" s="172"/>
      <c r="P16" s="172"/>
      <c r="Q16" s="258"/>
      <c r="R16" s="258"/>
    </row>
    <row r="17" spans="1:24" s="52" customFormat="1" x14ac:dyDescent="0.3">
      <c r="A17" s="260"/>
      <c r="B17" s="262">
        <v>14</v>
      </c>
      <c r="C17" s="196">
        <v>43889</v>
      </c>
      <c r="D17" s="197">
        <v>33</v>
      </c>
      <c r="E17" s="198">
        <f t="shared" si="1"/>
        <v>8</v>
      </c>
      <c r="F17" s="504"/>
      <c r="G17" s="195">
        <f t="shared" si="2"/>
        <v>27.9</v>
      </c>
      <c r="H17" s="539"/>
      <c r="I17" s="539"/>
      <c r="J17" s="539"/>
      <c r="K17" s="545"/>
      <c r="L17" s="539"/>
      <c r="M17" s="172"/>
      <c r="N17" s="172"/>
      <c r="O17" s="172"/>
      <c r="P17" s="172"/>
      <c r="Q17" s="258"/>
      <c r="R17" s="258"/>
      <c r="S17" s="31"/>
      <c r="T17" s="31"/>
      <c r="U17" s="31"/>
      <c r="V17" s="2"/>
      <c r="W17" s="2"/>
      <c r="X17" s="2"/>
    </row>
    <row r="18" spans="1:24" s="52" customFormat="1" x14ac:dyDescent="0.3">
      <c r="A18" s="260"/>
      <c r="B18" s="262">
        <v>15</v>
      </c>
      <c r="C18" s="196">
        <v>43890</v>
      </c>
      <c r="D18" s="197">
        <v>58</v>
      </c>
      <c r="E18" s="198">
        <f t="shared" si="1"/>
        <v>25</v>
      </c>
      <c r="F18" s="504"/>
      <c r="G18" s="195">
        <f t="shared" si="2"/>
        <v>27.9</v>
      </c>
      <c r="H18" s="539"/>
      <c r="I18" s="539"/>
      <c r="J18" s="539"/>
      <c r="K18" s="545"/>
      <c r="L18" s="539"/>
      <c r="M18" s="172"/>
      <c r="N18" s="172"/>
      <c r="O18" s="172"/>
      <c r="P18" s="172"/>
      <c r="Q18" s="258"/>
      <c r="R18" s="258"/>
      <c r="S18" s="31"/>
      <c r="T18" s="31"/>
      <c r="U18" s="31"/>
      <c r="V18" s="2"/>
      <c r="W18" s="2"/>
      <c r="X18" s="2"/>
    </row>
    <row r="19" spans="1:24" s="52" customFormat="1" x14ac:dyDescent="0.3">
      <c r="A19" s="260"/>
      <c r="B19" s="262">
        <v>16</v>
      </c>
      <c r="C19" s="196">
        <v>43891</v>
      </c>
      <c r="D19" s="197">
        <v>84</v>
      </c>
      <c r="E19" s="198">
        <f t="shared" si="1"/>
        <v>26</v>
      </c>
      <c r="F19" s="504"/>
      <c r="G19" s="195">
        <f t="shared" si="2"/>
        <v>27.9</v>
      </c>
      <c r="H19" s="539"/>
      <c r="I19" s="539"/>
      <c r="J19" s="539"/>
      <c r="K19" s="545"/>
      <c r="L19" s="539"/>
      <c r="M19" s="172"/>
      <c r="N19" s="172"/>
      <c r="O19" s="172"/>
      <c r="P19" s="172"/>
      <c r="Q19" s="258"/>
      <c r="R19" s="258"/>
      <c r="S19" s="31"/>
      <c r="T19" s="31"/>
      <c r="U19" s="31"/>
      <c r="V19" s="2"/>
      <c r="W19" s="2"/>
      <c r="X19" s="2"/>
    </row>
    <row r="20" spans="1:24" s="52" customFormat="1" x14ac:dyDescent="0.3">
      <c r="A20" s="260"/>
      <c r="B20" s="262">
        <v>17</v>
      </c>
      <c r="C20" s="196">
        <v>43892</v>
      </c>
      <c r="D20" s="197">
        <v>120</v>
      </c>
      <c r="E20" s="198">
        <f t="shared" si="1"/>
        <v>36</v>
      </c>
      <c r="F20" s="504"/>
      <c r="G20" s="195">
        <f t="shared" si="2"/>
        <v>27.9</v>
      </c>
      <c r="H20" s="539"/>
      <c r="I20" s="539"/>
      <c r="J20" s="539"/>
      <c r="K20" s="545"/>
      <c r="L20" s="539"/>
      <c r="M20" s="172"/>
      <c r="N20" s="172"/>
      <c r="O20" s="172"/>
      <c r="P20" s="172"/>
      <c r="Q20" s="258"/>
      <c r="R20" s="258"/>
      <c r="S20" s="31"/>
      <c r="T20" s="31"/>
      <c r="U20" s="31"/>
      <c r="V20" s="2"/>
      <c r="W20" s="2"/>
      <c r="X20" s="2"/>
    </row>
    <row r="21" spans="1:24" s="52" customFormat="1" x14ac:dyDescent="0.3">
      <c r="A21" s="260"/>
      <c r="B21" s="262">
        <v>18</v>
      </c>
      <c r="C21" s="196">
        <v>43893</v>
      </c>
      <c r="D21" s="197">
        <v>165</v>
      </c>
      <c r="E21" s="198">
        <f t="shared" si="1"/>
        <v>45</v>
      </c>
      <c r="F21" s="504"/>
      <c r="G21" s="195">
        <f t="shared" si="2"/>
        <v>27.9</v>
      </c>
      <c r="H21" s="539"/>
      <c r="I21" s="539"/>
      <c r="J21" s="539"/>
      <c r="K21" s="545"/>
      <c r="L21" s="539"/>
      <c r="M21" s="172"/>
      <c r="N21" s="172"/>
      <c r="O21" s="172"/>
      <c r="P21" s="172"/>
      <c r="Q21" s="258"/>
      <c r="R21" s="258"/>
      <c r="S21" s="31"/>
      <c r="T21" s="31"/>
      <c r="U21" s="31"/>
      <c r="V21" s="2"/>
      <c r="W21" s="2"/>
      <c r="X21" s="2"/>
    </row>
    <row r="22" spans="1:24" s="52" customFormat="1" x14ac:dyDescent="0.3">
      <c r="A22" s="260"/>
      <c r="B22" s="262">
        <v>19</v>
      </c>
      <c r="C22" s="196">
        <v>43894</v>
      </c>
      <c r="D22" s="197">
        <v>228</v>
      </c>
      <c r="E22" s="198">
        <f t="shared" si="1"/>
        <v>63</v>
      </c>
      <c r="F22" s="504"/>
      <c r="G22" s="195">
        <f t="shared" si="2"/>
        <v>27.9</v>
      </c>
      <c r="H22" s="539"/>
      <c r="I22" s="539"/>
      <c r="J22" s="539"/>
      <c r="K22" s="545"/>
      <c r="L22" s="539"/>
      <c r="M22" s="172"/>
      <c r="N22" s="172"/>
      <c r="O22" s="172"/>
      <c r="P22" s="172"/>
      <c r="Q22" s="258"/>
      <c r="R22" s="258"/>
      <c r="S22" s="31"/>
      <c r="T22" s="31"/>
      <c r="U22" s="31"/>
      <c r="V22" s="2"/>
      <c r="W22" s="2"/>
      <c r="X22" s="2"/>
    </row>
    <row r="23" spans="1:24" s="52" customFormat="1" ht="19.5" thickBot="1" x14ac:dyDescent="0.35">
      <c r="A23" s="260"/>
      <c r="B23" s="263">
        <v>20</v>
      </c>
      <c r="C23" s="200">
        <v>43895</v>
      </c>
      <c r="D23" s="201">
        <v>282</v>
      </c>
      <c r="E23" s="202">
        <f t="shared" si="1"/>
        <v>54</v>
      </c>
      <c r="F23" s="505"/>
      <c r="G23" s="195">
        <f t="shared" si="2"/>
        <v>27.9</v>
      </c>
      <c r="H23" s="540"/>
      <c r="I23" s="540"/>
      <c r="J23" s="540"/>
      <c r="K23" s="546"/>
      <c r="L23" s="540"/>
      <c r="M23" s="172"/>
      <c r="N23" s="172"/>
      <c r="O23" s="172"/>
      <c r="P23" s="172"/>
      <c r="Q23" s="258"/>
      <c r="R23" s="258"/>
      <c r="S23" s="31"/>
      <c r="T23" s="31"/>
      <c r="U23" s="31"/>
      <c r="V23" s="2"/>
      <c r="W23" s="2"/>
      <c r="X23" s="2"/>
    </row>
    <row r="24" spans="1:24" s="52" customFormat="1" x14ac:dyDescent="0.3">
      <c r="A24" s="260"/>
      <c r="B24" s="264">
        <v>21</v>
      </c>
      <c r="C24" s="204">
        <v>43896</v>
      </c>
      <c r="D24" s="205">
        <v>401</v>
      </c>
      <c r="E24" s="194">
        <f t="shared" si="1"/>
        <v>119</v>
      </c>
      <c r="F24" s="503">
        <f>SUM(E24:E33)</f>
        <v>7706</v>
      </c>
      <c r="G24" s="195">
        <f>F$24/10</f>
        <v>770.6</v>
      </c>
      <c r="H24" s="538">
        <v>7706</v>
      </c>
      <c r="I24" s="538">
        <v>514</v>
      </c>
      <c r="J24" s="538">
        <v>291</v>
      </c>
      <c r="K24" s="544">
        <f>H24/SUM(H14+H4-I14-I4-J14-J4)</f>
        <v>27.719424460431654</v>
      </c>
      <c r="L24" s="538">
        <f>H24*0.05</f>
        <v>385.3</v>
      </c>
      <c r="M24" s="172"/>
      <c r="N24" s="172"/>
      <c r="O24" s="172"/>
      <c r="P24" s="172"/>
      <c r="Q24" s="258"/>
      <c r="R24" s="258"/>
      <c r="S24" s="31"/>
      <c r="T24" s="31"/>
      <c r="U24" s="31"/>
      <c r="V24" s="2"/>
      <c r="W24" s="2"/>
      <c r="X24" s="2"/>
    </row>
    <row r="25" spans="1:24" s="52" customFormat="1" ht="19.5" thickBot="1" x14ac:dyDescent="0.35">
      <c r="A25" s="260"/>
      <c r="B25" s="265">
        <v>22</v>
      </c>
      <c r="C25" s="206">
        <v>43897</v>
      </c>
      <c r="D25" s="207">
        <v>525</v>
      </c>
      <c r="E25" s="198">
        <f t="shared" si="1"/>
        <v>124</v>
      </c>
      <c r="F25" s="504"/>
      <c r="G25" s="195">
        <f t="shared" ref="G25:G33" si="3">F$24/10</f>
        <v>770.6</v>
      </c>
      <c r="H25" s="539"/>
      <c r="I25" s="539"/>
      <c r="J25" s="539"/>
      <c r="K25" s="545"/>
      <c r="L25" s="539"/>
      <c r="M25" s="172"/>
      <c r="N25" s="172"/>
      <c r="O25" s="172"/>
      <c r="P25" s="172"/>
      <c r="Q25" s="258"/>
      <c r="R25" s="258"/>
      <c r="S25" s="31"/>
      <c r="T25" s="31"/>
      <c r="U25" s="31"/>
      <c r="V25" s="2"/>
      <c r="W25" s="2"/>
      <c r="X25" s="2"/>
    </row>
    <row r="26" spans="1:24" s="52" customFormat="1" ht="23.25" customHeight="1" x14ac:dyDescent="0.3">
      <c r="A26" s="260"/>
      <c r="B26" s="265">
        <v>23</v>
      </c>
      <c r="C26" s="204">
        <v>43898</v>
      </c>
      <c r="D26" s="207">
        <v>674</v>
      </c>
      <c r="E26" s="198">
        <f t="shared" si="1"/>
        <v>149</v>
      </c>
      <c r="F26" s="504"/>
      <c r="G26" s="195">
        <f t="shared" si="3"/>
        <v>770.6</v>
      </c>
      <c r="H26" s="539"/>
      <c r="I26" s="539"/>
      <c r="J26" s="539"/>
      <c r="K26" s="545"/>
      <c r="L26" s="539"/>
      <c r="M26" s="172"/>
      <c r="N26" s="172"/>
      <c r="O26" s="172"/>
      <c r="P26" s="172"/>
      <c r="Q26" s="258"/>
      <c r="R26" s="258"/>
      <c r="S26" s="31"/>
      <c r="T26" s="31"/>
      <c r="U26" s="31"/>
      <c r="V26" s="2"/>
      <c r="W26" s="2"/>
      <c r="X26" s="2"/>
    </row>
    <row r="27" spans="1:24" s="52" customFormat="1" ht="19.5" thickBot="1" x14ac:dyDescent="0.35">
      <c r="A27" s="260"/>
      <c r="B27" s="265">
        <v>24</v>
      </c>
      <c r="C27" s="206">
        <v>43899</v>
      </c>
      <c r="D27" s="208">
        <v>1231</v>
      </c>
      <c r="E27" s="198">
        <f t="shared" si="1"/>
        <v>557</v>
      </c>
      <c r="F27" s="504"/>
      <c r="G27" s="195">
        <f t="shared" si="3"/>
        <v>770.6</v>
      </c>
      <c r="H27" s="539"/>
      <c r="I27" s="539"/>
      <c r="J27" s="539"/>
      <c r="K27" s="545"/>
      <c r="L27" s="539"/>
      <c r="M27" s="172"/>
      <c r="N27" s="172"/>
      <c r="O27" s="172"/>
      <c r="P27" s="172"/>
      <c r="Q27" s="258"/>
      <c r="R27" s="258"/>
      <c r="S27" s="31"/>
      <c r="T27" s="31"/>
      <c r="U27" s="31"/>
      <c r="V27" s="2"/>
      <c r="W27" s="2"/>
      <c r="X27" s="2"/>
    </row>
    <row r="28" spans="1:24" s="52" customFormat="1" x14ac:dyDescent="0.3">
      <c r="A28" s="260"/>
      <c r="B28" s="262">
        <v>25</v>
      </c>
      <c r="C28" s="204">
        <v>43900</v>
      </c>
      <c r="D28" s="213">
        <v>1695</v>
      </c>
      <c r="E28" s="198">
        <f t="shared" si="1"/>
        <v>464</v>
      </c>
      <c r="F28" s="504"/>
      <c r="G28" s="195">
        <f t="shared" si="3"/>
        <v>770.6</v>
      </c>
      <c r="H28" s="539"/>
      <c r="I28" s="539"/>
      <c r="J28" s="539"/>
      <c r="K28" s="545"/>
      <c r="L28" s="539"/>
      <c r="M28" s="172"/>
      <c r="N28" s="172"/>
      <c r="O28" s="172"/>
      <c r="P28" s="172"/>
      <c r="Q28" s="258"/>
      <c r="R28" s="258"/>
      <c r="S28" s="31"/>
      <c r="T28" s="31"/>
      <c r="U28" s="31"/>
      <c r="V28" s="2"/>
      <c r="W28" s="2"/>
      <c r="X28" s="2"/>
    </row>
    <row r="29" spans="1:24" s="52" customFormat="1" ht="19.5" thickBot="1" x14ac:dyDescent="0.35">
      <c r="A29" s="260"/>
      <c r="B29" s="262">
        <v>26</v>
      </c>
      <c r="C29" s="206">
        <v>43901</v>
      </c>
      <c r="D29" s="213">
        <v>2277</v>
      </c>
      <c r="E29" s="198">
        <f t="shared" si="1"/>
        <v>582</v>
      </c>
      <c r="F29" s="504"/>
      <c r="G29" s="195">
        <f t="shared" si="3"/>
        <v>770.6</v>
      </c>
      <c r="H29" s="539"/>
      <c r="I29" s="539"/>
      <c r="J29" s="539"/>
      <c r="K29" s="545"/>
      <c r="L29" s="539"/>
      <c r="M29" s="172"/>
      <c r="N29" s="172"/>
      <c r="O29" s="172"/>
      <c r="P29" s="172"/>
      <c r="Q29" s="258"/>
      <c r="R29" s="258"/>
      <c r="S29" s="31"/>
      <c r="T29" s="31"/>
      <c r="U29" s="31"/>
      <c r="V29" s="2"/>
      <c r="W29" s="2"/>
      <c r="X29" s="2"/>
    </row>
    <row r="30" spans="1:24" s="52" customFormat="1" x14ac:dyDescent="0.3">
      <c r="A30" s="279"/>
      <c r="B30" s="265">
        <v>27</v>
      </c>
      <c r="C30" s="204">
        <v>43902</v>
      </c>
      <c r="D30" s="208">
        <v>3146</v>
      </c>
      <c r="E30" s="198">
        <f t="shared" si="1"/>
        <v>869</v>
      </c>
      <c r="F30" s="504"/>
      <c r="G30" s="195">
        <f t="shared" si="3"/>
        <v>770.6</v>
      </c>
      <c r="H30" s="539"/>
      <c r="I30" s="539"/>
      <c r="J30" s="539"/>
      <c r="K30" s="545"/>
      <c r="L30" s="539"/>
      <c r="M30" s="172"/>
      <c r="N30" s="172"/>
      <c r="O30" s="172"/>
      <c r="P30" s="172"/>
      <c r="Q30" s="258"/>
      <c r="R30" s="258"/>
      <c r="S30" s="31"/>
      <c r="T30" s="31"/>
      <c r="U30" s="31"/>
      <c r="V30" s="2"/>
      <c r="W30" s="2"/>
      <c r="X30" s="2"/>
    </row>
    <row r="31" spans="1:24" s="52" customFormat="1" ht="19.5" thickBot="1" x14ac:dyDescent="0.35">
      <c r="A31" s="260"/>
      <c r="B31" s="269">
        <v>28</v>
      </c>
      <c r="C31" s="209">
        <v>43903</v>
      </c>
      <c r="D31" s="208">
        <v>5232</v>
      </c>
      <c r="E31" s="198">
        <f t="shared" si="1"/>
        <v>2086</v>
      </c>
      <c r="F31" s="504"/>
      <c r="G31" s="195">
        <f t="shared" si="3"/>
        <v>770.6</v>
      </c>
      <c r="H31" s="539"/>
      <c r="I31" s="539"/>
      <c r="J31" s="539"/>
      <c r="K31" s="545"/>
      <c r="L31" s="539"/>
      <c r="M31" s="172"/>
      <c r="N31" s="172"/>
      <c r="O31" s="172"/>
      <c r="P31" s="172"/>
      <c r="Q31" s="258"/>
      <c r="R31" s="258"/>
      <c r="S31" s="31"/>
      <c r="T31" s="31"/>
      <c r="U31" s="31"/>
      <c r="V31" s="2"/>
      <c r="W31" s="2"/>
      <c r="X31" s="2"/>
    </row>
    <row r="32" spans="1:24" s="52" customFormat="1" x14ac:dyDescent="0.3">
      <c r="A32" s="266">
        <v>1</v>
      </c>
      <c r="B32" s="265">
        <v>29</v>
      </c>
      <c r="C32" s="267">
        <v>43904</v>
      </c>
      <c r="D32" s="208">
        <v>6391</v>
      </c>
      <c r="E32" s="198">
        <f t="shared" si="1"/>
        <v>1159</v>
      </c>
      <c r="F32" s="504"/>
      <c r="G32" s="195">
        <f t="shared" si="3"/>
        <v>770.6</v>
      </c>
      <c r="H32" s="539"/>
      <c r="I32" s="539"/>
      <c r="J32" s="539"/>
      <c r="K32" s="545"/>
      <c r="L32" s="539"/>
      <c r="M32" s="172"/>
      <c r="N32" s="172"/>
      <c r="O32" s="172"/>
      <c r="P32" s="172"/>
      <c r="Q32" s="258"/>
      <c r="R32" s="258"/>
      <c r="S32" s="31"/>
      <c r="T32" s="31"/>
      <c r="U32" s="31"/>
      <c r="V32" s="2"/>
      <c r="W32" s="2"/>
      <c r="X32" s="2"/>
    </row>
    <row r="33" spans="1:24" s="31" customFormat="1" ht="19.5" thickBot="1" x14ac:dyDescent="0.3">
      <c r="A33" s="260">
        <v>2</v>
      </c>
      <c r="B33" s="270">
        <v>30</v>
      </c>
      <c r="C33" s="268">
        <v>43905</v>
      </c>
      <c r="D33" s="212">
        <v>7988</v>
      </c>
      <c r="E33" s="202">
        <f t="shared" si="1"/>
        <v>1597</v>
      </c>
      <c r="F33" s="505"/>
      <c r="G33" s="195">
        <f t="shared" si="3"/>
        <v>770.6</v>
      </c>
      <c r="H33" s="540"/>
      <c r="I33" s="540"/>
      <c r="J33" s="540"/>
      <c r="K33" s="546"/>
      <c r="L33" s="540"/>
      <c r="M33" s="172"/>
      <c r="N33" s="172"/>
      <c r="O33" s="172"/>
      <c r="P33" s="172"/>
      <c r="Q33" s="258"/>
      <c r="R33" s="258"/>
      <c r="V33" s="2"/>
      <c r="W33" s="2"/>
      <c r="X33" s="2"/>
    </row>
    <row r="34" spans="1:24" s="31" customFormat="1" x14ac:dyDescent="0.25">
      <c r="A34" s="260">
        <v>3</v>
      </c>
      <c r="B34" s="261">
        <v>31</v>
      </c>
      <c r="C34" s="196">
        <v>43906</v>
      </c>
      <c r="D34" s="193">
        <v>9942</v>
      </c>
      <c r="E34" s="194">
        <f t="shared" si="1"/>
        <v>1954</v>
      </c>
      <c r="F34" s="503">
        <f>SUM(E34:E43)</f>
        <v>41527</v>
      </c>
      <c r="G34" s="195">
        <f>F$34/10</f>
        <v>4152.7</v>
      </c>
      <c r="H34" s="538">
        <f>SUM(G34:G43)</f>
        <v>41526.999999999993</v>
      </c>
      <c r="I34" s="538">
        <v>4850</v>
      </c>
      <c r="J34" s="538">
        <v>3305</v>
      </c>
      <c r="K34" s="544">
        <f>H34/SUM(H24+H14+H4-I24-I14-I4-J24-J14-J4)</f>
        <v>5.7845103774898998</v>
      </c>
      <c r="L34" s="535">
        <f>H34*0.05</f>
        <v>2076.35</v>
      </c>
      <c r="M34" s="172"/>
      <c r="N34" s="172"/>
      <c r="O34" s="172"/>
      <c r="P34" s="172"/>
      <c r="Q34" s="258"/>
      <c r="R34" s="258"/>
      <c r="V34" s="2"/>
      <c r="W34" s="2"/>
      <c r="X34" s="2"/>
    </row>
    <row r="35" spans="1:24" s="31" customFormat="1" x14ac:dyDescent="0.25">
      <c r="A35" s="260">
        <v>4</v>
      </c>
      <c r="B35" s="262">
        <v>32</v>
      </c>
      <c r="C35" s="196">
        <v>43907</v>
      </c>
      <c r="D35" s="213">
        <v>11825</v>
      </c>
      <c r="E35" s="198">
        <f t="shared" si="1"/>
        <v>1883</v>
      </c>
      <c r="F35" s="504"/>
      <c r="G35" s="195">
        <f t="shared" ref="G35:G43" si="4">F$34/10</f>
        <v>4152.7</v>
      </c>
      <c r="H35" s="539"/>
      <c r="I35" s="539"/>
      <c r="J35" s="539"/>
      <c r="K35" s="545"/>
      <c r="L35" s="536"/>
      <c r="M35" s="172"/>
      <c r="N35" s="172"/>
      <c r="O35" s="172"/>
      <c r="P35" s="172"/>
      <c r="Q35" s="258"/>
      <c r="R35" s="258"/>
      <c r="V35" s="2"/>
      <c r="W35" s="2"/>
      <c r="X35" s="2"/>
    </row>
    <row r="36" spans="1:24" s="31" customFormat="1" ht="15.75" x14ac:dyDescent="0.25">
      <c r="A36" s="260">
        <v>5</v>
      </c>
      <c r="B36" s="262">
        <v>33</v>
      </c>
      <c r="C36" s="196">
        <v>43908</v>
      </c>
      <c r="D36" s="213">
        <v>14769</v>
      </c>
      <c r="E36" s="198">
        <f t="shared" si="1"/>
        <v>2944</v>
      </c>
      <c r="F36" s="504"/>
      <c r="G36" s="195">
        <f t="shared" si="4"/>
        <v>4152.7</v>
      </c>
      <c r="H36" s="539"/>
      <c r="I36" s="539"/>
      <c r="J36" s="539"/>
      <c r="K36" s="545"/>
      <c r="L36" s="553"/>
      <c r="M36" s="360"/>
      <c r="N36" s="360"/>
      <c r="O36" s="360"/>
      <c r="P36" s="360"/>
      <c r="Q36" s="360"/>
      <c r="R36" s="360"/>
      <c r="V36" s="2"/>
      <c r="W36" s="2"/>
      <c r="X36" s="2"/>
    </row>
    <row r="37" spans="1:24" s="31" customFormat="1" ht="15.75" x14ac:dyDescent="0.25">
      <c r="A37" s="260">
        <v>6</v>
      </c>
      <c r="B37" s="262">
        <v>34</v>
      </c>
      <c r="C37" s="196">
        <v>43909</v>
      </c>
      <c r="D37" s="213">
        <v>18077</v>
      </c>
      <c r="E37" s="198">
        <f t="shared" si="1"/>
        <v>3308</v>
      </c>
      <c r="F37" s="504"/>
      <c r="G37" s="195">
        <f t="shared" si="4"/>
        <v>4152.7</v>
      </c>
      <c r="H37" s="539"/>
      <c r="I37" s="539"/>
      <c r="J37" s="539"/>
      <c r="K37" s="545"/>
      <c r="L37" s="553"/>
      <c r="M37" s="360"/>
      <c r="N37" s="360"/>
      <c r="O37" s="360"/>
      <c r="P37" s="360"/>
      <c r="Q37" s="360"/>
      <c r="R37" s="360"/>
      <c r="V37" s="2"/>
      <c r="W37" s="2"/>
      <c r="X37" s="2"/>
    </row>
    <row r="38" spans="1:24" s="31" customFormat="1" ht="15.75" x14ac:dyDescent="0.25">
      <c r="A38" s="260">
        <v>7</v>
      </c>
      <c r="B38" s="262">
        <v>35</v>
      </c>
      <c r="C38" s="196">
        <v>43910</v>
      </c>
      <c r="D38" s="213">
        <v>21571</v>
      </c>
      <c r="E38" s="198">
        <f t="shared" si="1"/>
        <v>3494</v>
      </c>
      <c r="F38" s="504"/>
      <c r="G38" s="195">
        <f t="shared" si="4"/>
        <v>4152.7</v>
      </c>
      <c r="H38" s="539"/>
      <c r="I38" s="539"/>
      <c r="J38" s="539"/>
      <c r="K38" s="545"/>
      <c r="L38" s="553"/>
      <c r="M38" s="360"/>
      <c r="N38" s="360"/>
      <c r="O38" s="360"/>
      <c r="P38" s="360"/>
      <c r="Q38" s="360"/>
      <c r="R38" s="360"/>
      <c r="V38" s="2"/>
      <c r="W38" s="2"/>
      <c r="X38" s="2"/>
    </row>
    <row r="39" spans="1:24" s="31" customFormat="1" ht="15.75" x14ac:dyDescent="0.25">
      <c r="A39" s="260">
        <v>8</v>
      </c>
      <c r="B39" s="262">
        <v>36</v>
      </c>
      <c r="C39" s="196">
        <v>43911</v>
      </c>
      <c r="D39" s="213">
        <v>25496</v>
      </c>
      <c r="E39" s="198">
        <f t="shared" si="1"/>
        <v>3925</v>
      </c>
      <c r="F39" s="504"/>
      <c r="G39" s="195">
        <f t="shared" si="4"/>
        <v>4152.7</v>
      </c>
      <c r="H39" s="539"/>
      <c r="I39" s="539"/>
      <c r="J39" s="539"/>
      <c r="K39" s="545"/>
      <c r="L39" s="553"/>
      <c r="M39" s="360"/>
      <c r="N39" s="360"/>
      <c r="O39" s="360"/>
      <c r="P39" s="360"/>
      <c r="Q39" s="360"/>
      <c r="R39" s="360"/>
      <c r="V39" s="2"/>
      <c r="W39" s="2"/>
      <c r="X39" s="2"/>
    </row>
    <row r="40" spans="1:24" s="31" customFormat="1" ht="15.75" x14ac:dyDescent="0.25">
      <c r="A40" s="260">
        <v>9</v>
      </c>
      <c r="B40" s="262">
        <v>37</v>
      </c>
      <c r="C40" s="196">
        <v>43912</v>
      </c>
      <c r="D40" s="213">
        <v>28768</v>
      </c>
      <c r="E40" s="198">
        <f t="shared" si="1"/>
        <v>3272</v>
      </c>
      <c r="F40" s="504"/>
      <c r="G40" s="195">
        <f t="shared" si="4"/>
        <v>4152.7</v>
      </c>
      <c r="H40" s="539"/>
      <c r="I40" s="539"/>
      <c r="J40" s="539"/>
      <c r="K40" s="545"/>
      <c r="L40" s="553"/>
      <c r="M40" s="360"/>
      <c r="N40" s="360"/>
      <c r="O40" s="360"/>
      <c r="P40" s="360"/>
      <c r="Q40" s="360"/>
      <c r="R40" s="360"/>
      <c r="V40" s="2"/>
      <c r="W40" s="2"/>
      <c r="X40" s="2"/>
    </row>
    <row r="41" spans="1:24" s="31" customFormat="1" ht="15.75" x14ac:dyDescent="0.25">
      <c r="A41" s="260">
        <v>10</v>
      </c>
      <c r="B41" s="262">
        <v>38</v>
      </c>
      <c r="C41" s="196">
        <v>43913</v>
      </c>
      <c r="D41" s="213">
        <v>35136</v>
      </c>
      <c r="E41" s="198">
        <f t="shared" si="1"/>
        <v>6368</v>
      </c>
      <c r="F41" s="504"/>
      <c r="G41" s="195">
        <f t="shared" si="4"/>
        <v>4152.7</v>
      </c>
      <c r="H41" s="539"/>
      <c r="I41" s="539"/>
      <c r="J41" s="539"/>
      <c r="K41" s="545"/>
      <c r="L41" s="553"/>
      <c r="M41" s="360"/>
      <c r="N41" s="360"/>
      <c r="O41" s="360"/>
      <c r="P41" s="360"/>
      <c r="Q41" s="360"/>
      <c r="R41" s="360"/>
      <c r="V41" s="2"/>
      <c r="W41" s="2"/>
      <c r="X41" s="2"/>
    </row>
    <row r="42" spans="1:24" s="31" customFormat="1" x14ac:dyDescent="0.25">
      <c r="A42" s="260">
        <v>11</v>
      </c>
      <c r="B42" s="262">
        <v>39</v>
      </c>
      <c r="C42" s="196">
        <v>43914</v>
      </c>
      <c r="D42" s="213">
        <v>42058</v>
      </c>
      <c r="E42" s="198">
        <f t="shared" si="1"/>
        <v>6922</v>
      </c>
      <c r="F42" s="504"/>
      <c r="G42" s="195">
        <f t="shared" si="4"/>
        <v>4152.7</v>
      </c>
      <c r="H42" s="539"/>
      <c r="I42" s="539"/>
      <c r="J42" s="539"/>
      <c r="K42" s="545"/>
      <c r="L42" s="536"/>
      <c r="M42" s="172"/>
      <c r="N42" s="172"/>
      <c r="O42" s="172"/>
      <c r="P42" s="172"/>
      <c r="Q42" s="258"/>
      <c r="R42" s="258"/>
      <c r="V42" s="2"/>
      <c r="W42" s="2"/>
      <c r="X42" s="2"/>
    </row>
    <row r="43" spans="1:24" s="31" customFormat="1" ht="19.5" thickBot="1" x14ac:dyDescent="0.3">
      <c r="A43" s="260">
        <v>12</v>
      </c>
      <c r="B43" s="300">
        <v>40</v>
      </c>
      <c r="C43" s="203">
        <v>43915</v>
      </c>
      <c r="D43" s="217">
        <v>49515</v>
      </c>
      <c r="E43" s="218">
        <f t="shared" si="1"/>
        <v>7457</v>
      </c>
      <c r="F43" s="505"/>
      <c r="G43" s="195">
        <f t="shared" si="4"/>
        <v>4152.7</v>
      </c>
      <c r="H43" s="540"/>
      <c r="I43" s="540"/>
      <c r="J43" s="540"/>
      <c r="K43" s="546"/>
      <c r="L43" s="537"/>
      <c r="M43" s="172"/>
      <c r="N43" s="172"/>
      <c r="O43" s="172"/>
      <c r="P43" s="172"/>
      <c r="Q43" s="258"/>
      <c r="R43" s="258"/>
      <c r="V43" s="2"/>
      <c r="W43" s="2"/>
      <c r="X43" s="2"/>
    </row>
    <row r="44" spans="1:24" s="31" customFormat="1" x14ac:dyDescent="0.25">
      <c r="A44" s="260">
        <v>13</v>
      </c>
      <c r="B44" s="261">
        <v>41</v>
      </c>
      <c r="C44" s="272">
        <v>43916</v>
      </c>
      <c r="D44" s="327">
        <v>57786</v>
      </c>
      <c r="E44" s="328">
        <f>D44-D43</f>
        <v>8271</v>
      </c>
      <c r="F44" s="541">
        <f>SUM(E44:E53)</f>
        <v>76653</v>
      </c>
      <c r="G44" s="275">
        <f>H$44/10</f>
        <v>7665.3</v>
      </c>
      <c r="H44" s="538">
        <v>76653</v>
      </c>
      <c r="I44" s="538">
        <v>28852</v>
      </c>
      <c r="J44" s="538">
        <v>8300</v>
      </c>
      <c r="K44" s="544">
        <f>H44/SUM(H34+H24+H14+H4-I34-I24-I14-I4-J34-J24-J14-J4)</f>
        <v>1.890286306133018</v>
      </c>
      <c r="L44" s="535">
        <f>H44*0.05</f>
        <v>3832.65</v>
      </c>
      <c r="M44" s="172"/>
      <c r="N44" s="172"/>
      <c r="O44" s="172"/>
      <c r="P44" s="172"/>
      <c r="Q44" s="258"/>
      <c r="R44" s="258"/>
      <c r="V44" s="2"/>
      <c r="W44" s="2"/>
      <c r="X44" s="2"/>
    </row>
    <row r="45" spans="1:24" s="31" customFormat="1" x14ac:dyDescent="0.25">
      <c r="A45" s="260">
        <v>14</v>
      </c>
      <c r="B45" s="262">
        <v>42</v>
      </c>
      <c r="C45" s="276">
        <v>43917</v>
      </c>
      <c r="D45" s="329">
        <v>65719</v>
      </c>
      <c r="E45" s="278">
        <f t="shared" ref="E45:E53" si="5">D45-D44</f>
        <v>7933</v>
      </c>
      <c r="F45" s="542"/>
      <c r="G45" s="275">
        <f t="shared" ref="G45:G53" si="6">H$44/10</f>
        <v>7665.3</v>
      </c>
      <c r="H45" s="539"/>
      <c r="I45" s="539"/>
      <c r="J45" s="539"/>
      <c r="K45" s="545"/>
      <c r="L45" s="536"/>
      <c r="M45" s="172"/>
      <c r="N45" s="172"/>
      <c r="O45" s="172"/>
      <c r="P45" s="172"/>
      <c r="Q45" s="258"/>
      <c r="R45" s="258"/>
      <c r="V45" s="2"/>
      <c r="W45" s="2"/>
      <c r="X45" s="2"/>
    </row>
    <row r="46" spans="1:24" s="31" customFormat="1" x14ac:dyDescent="0.25">
      <c r="A46" s="260">
        <v>15</v>
      </c>
      <c r="B46" s="262">
        <v>43</v>
      </c>
      <c r="C46" s="276">
        <v>43918</v>
      </c>
      <c r="D46" s="329">
        <v>73235</v>
      </c>
      <c r="E46" s="278">
        <f t="shared" si="5"/>
        <v>7516</v>
      </c>
      <c r="F46" s="542"/>
      <c r="G46" s="275">
        <f t="shared" si="6"/>
        <v>7665.3</v>
      </c>
      <c r="H46" s="539"/>
      <c r="I46" s="539"/>
      <c r="J46" s="539"/>
      <c r="K46" s="545"/>
      <c r="L46" s="536"/>
      <c r="M46" s="172"/>
      <c r="N46" s="172"/>
      <c r="O46" s="172"/>
      <c r="P46" s="172"/>
      <c r="Q46" s="258"/>
      <c r="R46" s="258"/>
      <c r="V46" s="2"/>
      <c r="W46" s="2"/>
      <c r="X46" s="2"/>
    </row>
    <row r="47" spans="1:24" s="31" customFormat="1" x14ac:dyDescent="0.25">
      <c r="A47" s="260">
        <v>16</v>
      </c>
      <c r="B47" s="262">
        <v>44</v>
      </c>
      <c r="C47" s="276">
        <v>43919</v>
      </c>
      <c r="D47" s="329">
        <v>80110</v>
      </c>
      <c r="E47" s="278">
        <f t="shared" si="5"/>
        <v>6875</v>
      </c>
      <c r="F47" s="542"/>
      <c r="G47" s="275">
        <f t="shared" si="6"/>
        <v>7665.3</v>
      </c>
      <c r="H47" s="539"/>
      <c r="I47" s="539"/>
      <c r="J47" s="539"/>
      <c r="K47" s="545"/>
      <c r="L47" s="536"/>
      <c r="M47" s="172"/>
      <c r="N47" s="172"/>
      <c r="O47" s="172"/>
      <c r="P47" s="172"/>
      <c r="Q47" s="258"/>
      <c r="R47" s="258"/>
      <c r="V47" s="2"/>
      <c r="W47" s="2"/>
      <c r="X47" s="2"/>
    </row>
    <row r="48" spans="1:24" s="31" customFormat="1" x14ac:dyDescent="0.25">
      <c r="A48" s="260">
        <v>17</v>
      </c>
      <c r="B48" s="262">
        <v>45</v>
      </c>
      <c r="C48" s="276">
        <v>43920</v>
      </c>
      <c r="D48" s="329">
        <v>87956</v>
      </c>
      <c r="E48" s="278">
        <f t="shared" si="5"/>
        <v>7846</v>
      </c>
      <c r="F48" s="542"/>
      <c r="G48" s="275">
        <f t="shared" si="6"/>
        <v>7665.3</v>
      </c>
      <c r="H48" s="539"/>
      <c r="I48" s="539"/>
      <c r="J48" s="539"/>
      <c r="K48" s="545"/>
      <c r="L48" s="536"/>
      <c r="M48" s="172"/>
      <c r="N48" s="172"/>
      <c r="O48" s="172"/>
      <c r="P48" s="172"/>
      <c r="Q48" s="258"/>
      <c r="R48" s="258"/>
      <c r="V48" s="2"/>
      <c r="W48" s="2"/>
      <c r="X48" s="2"/>
    </row>
    <row r="49" spans="1:24" s="52" customFormat="1" x14ac:dyDescent="0.3">
      <c r="A49" s="260">
        <v>18</v>
      </c>
      <c r="B49" s="262">
        <v>46</v>
      </c>
      <c r="C49" s="276">
        <v>43921</v>
      </c>
      <c r="D49" s="329">
        <v>95923</v>
      </c>
      <c r="E49" s="278">
        <f>D49-D48</f>
        <v>7967</v>
      </c>
      <c r="F49" s="542"/>
      <c r="G49" s="275">
        <f t="shared" si="6"/>
        <v>7665.3</v>
      </c>
      <c r="H49" s="539"/>
      <c r="I49" s="539"/>
      <c r="J49" s="539"/>
      <c r="K49" s="545"/>
      <c r="L49" s="536"/>
      <c r="M49" s="172"/>
      <c r="N49" s="172"/>
      <c r="O49" s="172"/>
      <c r="P49" s="172"/>
      <c r="Q49" s="258"/>
      <c r="R49" s="258"/>
      <c r="S49" s="31"/>
      <c r="T49" s="31"/>
      <c r="U49" s="31"/>
      <c r="V49" s="2"/>
      <c r="W49" s="2"/>
      <c r="X49" s="2"/>
    </row>
    <row r="50" spans="1:24" s="52" customFormat="1" x14ac:dyDescent="0.3">
      <c r="A50" s="260">
        <v>19</v>
      </c>
      <c r="B50" s="262">
        <v>47</v>
      </c>
      <c r="C50" s="276">
        <v>43922</v>
      </c>
      <c r="D50" s="329">
        <v>104118</v>
      </c>
      <c r="E50" s="278">
        <f t="shared" si="5"/>
        <v>8195</v>
      </c>
      <c r="F50" s="542"/>
      <c r="G50" s="275">
        <f t="shared" si="6"/>
        <v>7665.3</v>
      </c>
      <c r="H50" s="539"/>
      <c r="I50" s="539"/>
      <c r="J50" s="539"/>
      <c r="K50" s="545"/>
      <c r="L50" s="536"/>
      <c r="M50" s="172"/>
      <c r="N50" s="172"/>
      <c r="O50" s="172"/>
      <c r="P50" s="172"/>
      <c r="Q50" s="258"/>
      <c r="R50" s="258"/>
      <c r="S50" s="31"/>
      <c r="T50" s="31"/>
      <c r="U50" s="31"/>
      <c r="V50" s="2"/>
      <c r="W50" s="2"/>
      <c r="X50" s="2"/>
    </row>
    <row r="51" spans="1:24" s="52" customFormat="1" x14ac:dyDescent="0.3">
      <c r="A51" s="260">
        <v>20</v>
      </c>
      <c r="B51" s="262">
        <v>48</v>
      </c>
      <c r="C51" s="276">
        <v>43923</v>
      </c>
      <c r="D51" s="329">
        <v>112065</v>
      </c>
      <c r="E51" s="278">
        <f t="shared" si="5"/>
        <v>7947</v>
      </c>
      <c r="F51" s="542"/>
      <c r="G51" s="275">
        <f t="shared" si="6"/>
        <v>7665.3</v>
      </c>
      <c r="H51" s="539"/>
      <c r="I51" s="539"/>
      <c r="J51" s="539"/>
      <c r="K51" s="545"/>
      <c r="L51" s="536"/>
      <c r="M51" s="172"/>
      <c r="N51" s="172"/>
      <c r="O51" s="172"/>
      <c r="P51" s="172"/>
      <c r="Q51" s="258"/>
      <c r="R51" s="258"/>
      <c r="S51" s="31"/>
      <c r="T51" s="31"/>
      <c r="U51" s="31"/>
      <c r="V51" s="2"/>
      <c r="W51" s="2"/>
      <c r="X51" s="2"/>
    </row>
    <row r="52" spans="1:24" s="52" customFormat="1" x14ac:dyDescent="0.3">
      <c r="A52" s="260">
        <v>21</v>
      </c>
      <c r="B52" s="262">
        <v>49</v>
      </c>
      <c r="C52" s="276">
        <v>43924</v>
      </c>
      <c r="D52" s="329">
        <v>119199</v>
      </c>
      <c r="E52" s="278">
        <f t="shared" si="5"/>
        <v>7134</v>
      </c>
      <c r="F52" s="542"/>
      <c r="G52" s="275">
        <f t="shared" si="6"/>
        <v>7665.3</v>
      </c>
      <c r="H52" s="539"/>
      <c r="I52" s="539"/>
      <c r="J52" s="539"/>
      <c r="K52" s="545"/>
      <c r="L52" s="536"/>
      <c r="M52" s="172"/>
      <c r="N52" s="172"/>
      <c r="O52" s="172"/>
      <c r="P52" s="172"/>
      <c r="Q52" s="258"/>
      <c r="R52" s="258"/>
      <c r="S52" s="31"/>
      <c r="T52" s="31"/>
      <c r="U52" s="31"/>
      <c r="V52" s="2"/>
      <c r="W52" s="2"/>
      <c r="X52" s="2"/>
    </row>
    <row r="53" spans="1:24" s="52" customFormat="1" ht="19.5" thickBot="1" x14ac:dyDescent="0.35">
      <c r="A53" s="260">
        <v>22</v>
      </c>
      <c r="B53" s="263">
        <v>50</v>
      </c>
      <c r="C53" s="281">
        <v>43925</v>
      </c>
      <c r="D53" s="330">
        <v>126168</v>
      </c>
      <c r="E53" s="331">
        <f t="shared" si="5"/>
        <v>6969</v>
      </c>
      <c r="F53" s="543"/>
      <c r="G53" s="275">
        <f t="shared" si="6"/>
        <v>7665.3</v>
      </c>
      <c r="H53" s="540"/>
      <c r="I53" s="540"/>
      <c r="J53" s="540"/>
      <c r="K53" s="546"/>
      <c r="L53" s="537"/>
      <c r="M53" s="172"/>
      <c r="N53" s="172"/>
      <c r="O53" s="172"/>
      <c r="P53" s="172"/>
      <c r="Q53" s="258"/>
      <c r="R53" s="258"/>
      <c r="S53" s="31"/>
      <c r="T53" s="31"/>
      <c r="U53" s="31"/>
      <c r="V53" s="2"/>
      <c r="W53" s="2"/>
      <c r="X53" s="2"/>
    </row>
    <row r="54" spans="1:24" s="52" customFormat="1" x14ac:dyDescent="0.3">
      <c r="A54" s="260">
        <v>23</v>
      </c>
      <c r="B54" s="297">
        <v>51</v>
      </c>
      <c r="C54" s="288">
        <v>43926</v>
      </c>
      <c r="D54" s="298"/>
      <c r="E54" s="299"/>
      <c r="F54" s="532"/>
      <c r="G54" s="287">
        <f>H$54/10</f>
        <v>5000</v>
      </c>
      <c r="H54" s="523">
        <v>50000</v>
      </c>
      <c r="I54" s="523"/>
      <c r="J54" s="523"/>
      <c r="K54" s="526">
        <f>H54/SUM(H44+H34+H24+H14+H4-I44-I34-I24-I14-J44-J34-J24-J14-I4-J4)</f>
        <v>0.62459401389097091</v>
      </c>
      <c r="L54" s="529">
        <f>H54*0.05</f>
        <v>2500</v>
      </c>
      <c r="M54" s="172"/>
      <c r="N54" s="172"/>
      <c r="O54" s="172"/>
      <c r="P54" s="172"/>
      <c r="Q54" s="258"/>
      <c r="R54" s="258"/>
      <c r="S54" s="31"/>
      <c r="T54" s="31"/>
      <c r="U54" s="31"/>
      <c r="V54" s="2"/>
      <c r="W54" s="2"/>
      <c r="X54" s="2"/>
    </row>
    <row r="55" spans="1:24" s="52" customFormat="1" x14ac:dyDescent="0.3">
      <c r="A55" s="260">
        <v>24</v>
      </c>
      <c r="B55" s="262">
        <v>52</v>
      </c>
      <c r="C55" s="288">
        <v>43927</v>
      </c>
      <c r="D55" s="289"/>
      <c r="E55" s="290"/>
      <c r="F55" s="533"/>
      <c r="G55" s="287">
        <f t="shared" ref="G55:G63" si="7">H$54/10</f>
        <v>5000</v>
      </c>
      <c r="H55" s="524"/>
      <c r="I55" s="524"/>
      <c r="J55" s="524"/>
      <c r="K55" s="527"/>
      <c r="L55" s="530"/>
      <c r="M55" s="172"/>
      <c r="N55" s="172"/>
      <c r="O55" s="172"/>
      <c r="P55" s="172"/>
      <c r="Q55" s="258"/>
      <c r="R55" s="258"/>
      <c r="S55" s="31"/>
      <c r="T55" s="31"/>
      <c r="U55" s="31"/>
      <c r="V55" s="2"/>
      <c r="W55" s="2"/>
      <c r="X55" s="2"/>
    </row>
    <row r="56" spans="1:24" s="52" customFormat="1" x14ac:dyDescent="0.3">
      <c r="A56" s="260">
        <v>25</v>
      </c>
      <c r="B56" s="262">
        <v>53</v>
      </c>
      <c r="C56" s="288">
        <v>43928</v>
      </c>
      <c r="D56" s="289"/>
      <c r="E56" s="290"/>
      <c r="F56" s="533"/>
      <c r="G56" s="287">
        <f t="shared" si="7"/>
        <v>5000</v>
      </c>
      <c r="H56" s="524"/>
      <c r="I56" s="524"/>
      <c r="J56" s="524"/>
      <c r="K56" s="527"/>
      <c r="L56" s="530"/>
      <c r="M56" s="172"/>
      <c r="N56" s="172"/>
      <c r="O56" s="172"/>
      <c r="P56" s="172"/>
      <c r="Q56" s="258"/>
      <c r="R56" s="258"/>
      <c r="S56" s="31"/>
      <c r="T56" s="31"/>
      <c r="U56" s="31"/>
      <c r="V56" s="2"/>
      <c r="W56" s="2"/>
      <c r="X56" s="2"/>
    </row>
    <row r="57" spans="1:24" s="52" customFormat="1" x14ac:dyDescent="0.3">
      <c r="A57" s="260">
        <v>26</v>
      </c>
      <c r="B57" s="262">
        <v>54</v>
      </c>
      <c r="C57" s="288">
        <v>43929</v>
      </c>
      <c r="D57" s="289"/>
      <c r="E57" s="290"/>
      <c r="F57" s="533"/>
      <c r="G57" s="287">
        <f t="shared" si="7"/>
        <v>5000</v>
      </c>
      <c r="H57" s="524"/>
      <c r="I57" s="524"/>
      <c r="J57" s="524"/>
      <c r="K57" s="527"/>
      <c r="L57" s="530"/>
      <c r="M57" s="172"/>
      <c r="N57" s="172"/>
      <c r="O57" s="172"/>
      <c r="P57" s="172"/>
      <c r="Q57" s="258"/>
      <c r="R57" s="258"/>
      <c r="S57" s="31"/>
      <c r="T57" s="31"/>
      <c r="U57" s="31"/>
      <c r="V57" s="2"/>
      <c r="W57" s="2"/>
      <c r="X57" s="2"/>
    </row>
    <row r="58" spans="1:24" s="52" customFormat="1" x14ac:dyDescent="0.3">
      <c r="A58" s="260">
        <v>27</v>
      </c>
      <c r="B58" s="262">
        <v>55</v>
      </c>
      <c r="C58" s="288">
        <v>43930</v>
      </c>
      <c r="D58" s="289"/>
      <c r="E58" s="290"/>
      <c r="F58" s="533"/>
      <c r="G58" s="287">
        <f t="shared" si="7"/>
        <v>5000</v>
      </c>
      <c r="H58" s="524"/>
      <c r="I58" s="524"/>
      <c r="J58" s="524"/>
      <c r="K58" s="527"/>
      <c r="L58" s="530"/>
      <c r="M58" s="172"/>
      <c r="N58" s="172"/>
      <c r="O58" s="172"/>
      <c r="P58" s="172"/>
      <c r="Q58" s="258"/>
      <c r="R58" s="258"/>
      <c r="S58" s="31"/>
      <c r="T58" s="31"/>
      <c r="U58" s="31"/>
      <c r="V58" s="2"/>
      <c r="W58" s="2"/>
      <c r="X58" s="2"/>
    </row>
    <row r="59" spans="1:24" s="52" customFormat="1" x14ac:dyDescent="0.3">
      <c r="A59" s="260">
        <v>28</v>
      </c>
      <c r="B59" s="262">
        <v>56</v>
      </c>
      <c r="C59" s="288">
        <v>43931</v>
      </c>
      <c r="D59" s="289"/>
      <c r="E59" s="290"/>
      <c r="F59" s="582"/>
      <c r="G59" s="287">
        <f t="shared" si="7"/>
        <v>5000</v>
      </c>
      <c r="H59" s="533"/>
      <c r="I59" s="524"/>
      <c r="J59" s="524"/>
      <c r="K59" s="527"/>
      <c r="L59" s="530"/>
      <c r="M59" s="172"/>
      <c r="N59" s="172"/>
      <c r="O59" s="172"/>
      <c r="P59" s="172"/>
      <c r="Q59" s="258"/>
      <c r="R59" s="258"/>
      <c r="S59" s="31"/>
      <c r="T59" s="31"/>
      <c r="U59" s="31"/>
      <c r="V59" s="2"/>
      <c r="W59" s="2"/>
      <c r="X59" s="2"/>
    </row>
    <row r="60" spans="1:24" s="52" customFormat="1" x14ac:dyDescent="0.3">
      <c r="A60" s="260">
        <v>29</v>
      </c>
      <c r="B60" s="280">
        <v>57</v>
      </c>
      <c r="C60" s="288">
        <v>43932</v>
      </c>
      <c r="D60" s="289"/>
      <c r="E60" s="290"/>
      <c r="F60" s="582"/>
      <c r="G60" s="287">
        <f t="shared" si="7"/>
        <v>5000</v>
      </c>
      <c r="H60" s="533"/>
      <c r="I60" s="524"/>
      <c r="J60" s="524"/>
      <c r="K60" s="527"/>
      <c r="L60" s="530"/>
      <c r="M60" s="172"/>
      <c r="N60" s="172"/>
      <c r="O60" s="172"/>
      <c r="P60" s="172"/>
      <c r="Q60" s="258"/>
      <c r="R60" s="258"/>
      <c r="S60" s="31"/>
      <c r="T60" s="31"/>
      <c r="U60" s="31"/>
      <c r="V60" s="2"/>
      <c r="W60" s="2"/>
      <c r="X60" s="2"/>
    </row>
    <row r="61" spans="1:24" s="52" customFormat="1" x14ac:dyDescent="0.3">
      <c r="A61" s="260">
        <v>30</v>
      </c>
      <c r="B61" s="262">
        <v>58</v>
      </c>
      <c r="C61" s="288">
        <v>43933</v>
      </c>
      <c r="D61" s="289"/>
      <c r="E61" s="290"/>
      <c r="F61" s="582"/>
      <c r="G61" s="287">
        <f t="shared" si="7"/>
        <v>5000</v>
      </c>
      <c r="H61" s="533"/>
      <c r="I61" s="524"/>
      <c r="J61" s="524"/>
      <c r="K61" s="527"/>
      <c r="L61" s="530"/>
      <c r="M61" s="172"/>
      <c r="N61" s="172"/>
      <c r="O61" s="172"/>
      <c r="P61" s="172"/>
      <c r="Q61" s="258"/>
      <c r="R61" s="258"/>
      <c r="S61" s="31"/>
      <c r="T61" s="31"/>
      <c r="U61" s="31"/>
      <c r="V61" s="2"/>
      <c r="W61" s="2"/>
      <c r="X61" s="2"/>
    </row>
    <row r="62" spans="1:24" s="52" customFormat="1" x14ac:dyDescent="0.3">
      <c r="A62" s="260">
        <v>31</v>
      </c>
      <c r="B62" s="262">
        <v>59</v>
      </c>
      <c r="C62" s="288">
        <v>43934</v>
      </c>
      <c r="D62" s="289"/>
      <c r="E62" s="290"/>
      <c r="F62" s="582"/>
      <c r="G62" s="287">
        <f t="shared" si="7"/>
        <v>5000</v>
      </c>
      <c r="H62" s="533"/>
      <c r="I62" s="524"/>
      <c r="J62" s="524"/>
      <c r="K62" s="527"/>
      <c r="L62" s="530"/>
      <c r="M62" s="172"/>
      <c r="N62" s="172"/>
      <c r="O62" s="172"/>
      <c r="P62" s="172"/>
      <c r="Q62" s="258"/>
      <c r="R62" s="258"/>
      <c r="S62" s="31"/>
      <c r="T62" s="31"/>
      <c r="U62" s="31"/>
      <c r="V62" s="2"/>
      <c r="W62" s="2"/>
      <c r="X62" s="2"/>
    </row>
    <row r="63" spans="1:24" s="52" customFormat="1" ht="19.5" thickBot="1" x14ac:dyDescent="0.35">
      <c r="A63" s="260">
        <v>32</v>
      </c>
      <c r="B63" s="263">
        <v>60</v>
      </c>
      <c r="C63" s="291">
        <v>43935</v>
      </c>
      <c r="D63" s="292"/>
      <c r="E63" s="293"/>
      <c r="F63" s="582"/>
      <c r="G63" s="287">
        <f t="shared" si="7"/>
        <v>5000</v>
      </c>
      <c r="H63" s="533"/>
      <c r="I63" s="524"/>
      <c r="J63" s="524"/>
      <c r="K63" s="527"/>
      <c r="L63" s="530"/>
      <c r="M63" s="172"/>
      <c r="N63" s="172"/>
      <c r="O63" s="172"/>
      <c r="P63" s="172"/>
      <c r="Q63" s="258"/>
      <c r="R63" s="258"/>
      <c r="S63" s="31"/>
      <c r="T63" s="31"/>
      <c r="U63" s="31"/>
      <c r="V63" s="2"/>
      <c r="W63" s="2"/>
      <c r="X63" s="2"/>
    </row>
    <row r="64" spans="1:24" s="52" customFormat="1" x14ac:dyDescent="0.3">
      <c r="A64" s="260">
        <v>33</v>
      </c>
      <c r="B64" s="332">
        <v>61</v>
      </c>
      <c r="C64" s="284">
        <v>43936</v>
      </c>
      <c r="D64" s="333"/>
      <c r="E64" s="334"/>
      <c r="F64" s="583"/>
      <c r="G64" s="287">
        <f>H$64/10</f>
        <v>4000</v>
      </c>
      <c r="H64" s="585">
        <v>40000</v>
      </c>
      <c r="I64" s="586"/>
      <c r="J64" s="586"/>
      <c r="K64" s="587">
        <f>H64/SUM(H4+H54+H44+H34+H24+H14-I54-I44-I34-I24-J54-J44-J34-J24-I14-J14-I4-J4)</f>
        <v>0.30756927998031558</v>
      </c>
      <c r="L64" s="581">
        <f>H64*0.05</f>
        <v>2000</v>
      </c>
      <c r="M64" s="172"/>
      <c r="N64" s="172"/>
      <c r="O64" s="172"/>
      <c r="P64" s="172"/>
      <c r="Q64" s="258"/>
      <c r="R64" s="258"/>
      <c r="S64" s="31"/>
      <c r="T64" s="31"/>
      <c r="U64" s="31"/>
      <c r="V64" s="2"/>
      <c r="W64" s="2"/>
      <c r="X64" s="2"/>
    </row>
    <row r="65" spans="1:24" s="52" customFormat="1" x14ac:dyDescent="0.3">
      <c r="A65" s="260">
        <v>34</v>
      </c>
      <c r="B65" s="335">
        <v>62</v>
      </c>
      <c r="C65" s="288">
        <v>43937</v>
      </c>
      <c r="D65" s="336"/>
      <c r="E65" s="337"/>
      <c r="F65" s="584"/>
      <c r="G65" s="287">
        <f t="shared" ref="G65:G73" si="8">H$64/10</f>
        <v>4000</v>
      </c>
      <c r="H65" s="585"/>
      <c r="I65" s="586"/>
      <c r="J65" s="586"/>
      <c r="K65" s="587"/>
      <c r="L65" s="581"/>
      <c r="M65" s="172"/>
      <c r="N65" s="172"/>
      <c r="O65" s="172"/>
      <c r="P65" s="172"/>
      <c r="Q65" s="258"/>
      <c r="R65" s="258"/>
      <c r="S65" s="31"/>
      <c r="T65" s="31"/>
      <c r="U65" s="31"/>
      <c r="V65" s="2"/>
      <c r="W65" s="2"/>
      <c r="X65" s="2"/>
    </row>
    <row r="66" spans="1:24" s="52" customFormat="1" x14ac:dyDescent="0.3">
      <c r="A66" s="260">
        <v>35</v>
      </c>
      <c r="B66" s="335">
        <v>63</v>
      </c>
      <c r="C66" s="288">
        <v>43938</v>
      </c>
      <c r="D66" s="336"/>
      <c r="E66" s="337"/>
      <c r="F66" s="584"/>
      <c r="G66" s="287">
        <f t="shared" si="8"/>
        <v>4000</v>
      </c>
      <c r="H66" s="585"/>
      <c r="I66" s="586"/>
      <c r="J66" s="586"/>
      <c r="K66" s="587"/>
      <c r="L66" s="581"/>
      <c r="M66" s="172"/>
      <c r="N66" s="172"/>
      <c r="O66" s="172"/>
      <c r="P66" s="172"/>
      <c r="Q66" s="258"/>
      <c r="R66" s="258"/>
      <c r="S66" s="31"/>
      <c r="T66" s="31"/>
      <c r="U66" s="31"/>
      <c r="V66" s="2"/>
      <c r="W66" s="2"/>
      <c r="X66" s="2"/>
    </row>
    <row r="67" spans="1:24" s="52" customFormat="1" x14ac:dyDescent="0.3">
      <c r="A67" s="260">
        <v>36</v>
      </c>
      <c r="B67" s="335">
        <v>64</v>
      </c>
      <c r="C67" s="288">
        <v>43939</v>
      </c>
      <c r="D67" s="336"/>
      <c r="E67" s="337"/>
      <c r="F67" s="584"/>
      <c r="G67" s="287">
        <f t="shared" si="8"/>
        <v>4000</v>
      </c>
      <c r="H67" s="585"/>
      <c r="I67" s="586"/>
      <c r="J67" s="586"/>
      <c r="K67" s="587"/>
      <c r="L67" s="581"/>
      <c r="M67" s="172"/>
      <c r="N67" s="172"/>
      <c r="O67" s="172"/>
      <c r="P67" s="172"/>
      <c r="Q67" s="258"/>
      <c r="R67" s="258"/>
      <c r="S67" s="31"/>
      <c r="T67" s="31"/>
      <c r="U67" s="31"/>
      <c r="V67" s="2"/>
      <c r="W67" s="2"/>
      <c r="X67" s="2"/>
    </row>
    <row r="68" spans="1:24" s="52" customFormat="1" x14ac:dyDescent="0.3">
      <c r="A68" s="260">
        <v>37</v>
      </c>
      <c r="B68" s="335">
        <v>65</v>
      </c>
      <c r="C68" s="288">
        <v>43940</v>
      </c>
      <c r="D68" s="336"/>
      <c r="E68" s="337"/>
      <c r="F68" s="584"/>
      <c r="G68" s="287">
        <f t="shared" si="8"/>
        <v>4000</v>
      </c>
      <c r="H68" s="585"/>
      <c r="I68" s="586"/>
      <c r="J68" s="586"/>
      <c r="K68" s="587"/>
      <c r="L68" s="581"/>
      <c r="M68" s="172"/>
      <c r="N68" s="172"/>
      <c r="O68" s="172"/>
      <c r="P68" s="172"/>
      <c r="Q68" s="258"/>
      <c r="R68" s="258"/>
      <c r="S68" s="31"/>
      <c r="T68" s="31"/>
      <c r="U68" s="31"/>
      <c r="V68" s="2"/>
      <c r="W68" s="2"/>
      <c r="X68" s="2"/>
    </row>
    <row r="69" spans="1:24" s="52" customFormat="1" x14ac:dyDescent="0.3">
      <c r="A69" s="260">
        <v>38</v>
      </c>
      <c r="B69" s="335">
        <v>66</v>
      </c>
      <c r="C69" s="288">
        <v>43941</v>
      </c>
      <c r="D69" s="336"/>
      <c r="E69" s="337"/>
      <c r="F69" s="584"/>
      <c r="G69" s="287">
        <f t="shared" si="8"/>
        <v>4000</v>
      </c>
      <c r="H69" s="585"/>
      <c r="I69" s="586"/>
      <c r="J69" s="586"/>
      <c r="K69" s="587"/>
      <c r="L69" s="581"/>
      <c r="M69" s="172"/>
      <c r="N69" s="172"/>
      <c r="O69" s="172"/>
      <c r="P69" s="172"/>
      <c r="Q69" s="258"/>
      <c r="R69" s="258"/>
      <c r="S69" s="31"/>
      <c r="T69" s="31"/>
      <c r="U69" s="31"/>
      <c r="V69" s="2"/>
      <c r="W69" s="2"/>
      <c r="X69" s="2"/>
    </row>
    <row r="70" spans="1:24" s="52" customFormat="1" x14ac:dyDescent="0.3">
      <c r="A70" s="260">
        <v>39</v>
      </c>
      <c r="B70" s="335">
        <v>67</v>
      </c>
      <c r="C70" s="288">
        <v>43942</v>
      </c>
      <c r="D70" s="336"/>
      <c r="E70" s="337"/>
      <c r="F70" s="584"/>
      <c r="G70" s="287">
        <f t="shared" si="8"/>
        <v>4000</v>
      </c>
      <c r="H70" s="585"/>
      <c r="I70" s="586"/>
      <c r="J70" s="586"/>
      <c r="K70" s="587"/>
      <c r="L70" s="581"/>
      <c r="M70" s="172"/>
      <c r="N70" s="172"/>
      <c r="O70" s="172"/>
      <c r="P70" s="172"/>
      <c r="Q70" s="258"/>
      <c r="R70" s="258"/>
      <c r="S70" s="31"/>
      <c r="T70" s="31"/>
      <c r="U70" s="31"/>
      <c r="V70" s="2"/>
      <c r="W70" s="2"/>
      <c r="X70" s="2"/>
    </row>
    <row r="71" spans="1:24" s="52" customFormat="1" x14ac:dyDescent="0.3">
      <c r="A71" s="260">
        <v>40</v>
      </c>
      <c r="B71" s="335">
        <v>68</v>
      </c>
      <c r="C71" s="288">
        <v>43943</v>
      </c>
      <c r="D71" s="336"/>
      <c r="E71" s="337"/>
      <c r="F71" s="584"/>
      <c r="G71" s="287">
        <f t="shared" si="8"/>
        <v>4000</v>
      </c>
      <c r="H71" s="585"/>
      <c r="I71" s="586"/>
      <c r="J71" s="586"/>
      <c r="K71" s="587"/>
      <c r="L71" s="581"/>
      <c r="M71" s="172"/>
      <c r="N71" s="172"/>
      <c r="O71" s="172"/>
      <c r="P71" s="172"/>
      <c r="Q71" s="258"/>
      <c r="R71" s="258"/>
      <c r="S71" s="31"/>
      <c r="T71" s="31"/>
      <c r="U71" s="31"/>
      <c r="V71" s="2"/>
      <c r="W71" s="2"/>
      <c r="X71" s="2"/>
    </row>
    <row r="72" spans="1:24" s="52" customFormat="1" x14ac:dyDescent="0.3">
      <c r="A72" s="260">
        <v>41</v>
      </c>
      <c r="B72" s="335">
        <v>69</v>
      </c>
      <c r="C72" s="288">
        <v>43944</v>
      </c>
      <c r="D72" s="336"/>
      <c r="E72" s="337"/>
      <c r="F72" s="584"/>
      <c r="G72" s="287">
        <f t="shared" si="8"/>
        <v>4000</v>
      </c>
      <c r="H72" s="585"/>
      <c r="I72" s="586"/>
      <c r="J72" s="586"/>
      <c r="K72" s="587"/>
      <c r="L72" s="581"/>
      <c r="M72" s="172"/>
      <c r="N72" s="172"/>
      <c r="O72" s="172"/>
      <c r="P72" s="172"/>
      <c r="Q72" s="258"/>
      <c r="R72" s="258"/>
      <c r="S72" s="31"/>
      <c r="T72" s="31"/>
      <c r="U72" s="31"/>
      <c r="V72" s="2"/>
      <c r="W72" s="2"/>
      <c r="X72" s="2"/>
    </row>
    <row r="73" spans="1:24" s="52" customFormat="1" ht="19.5" thickBot="1" x14ac:dyDescent="0.35">
      <c r="A73" s="260">
        <v>42</v>
      </c>
      <c r="B73" s="338">
        <v>70</v>
      </c>
      <c r="C73" s="301">
        <v>43945</v>
      </c>
      <c r="D73" s="339"/>
      <c r="E73" s="340"/>
      <c r="F73" s="584"/>
      <c r="G73" s="287">
        <f t="shared" si="8"/>
        <v>4000</v>
      </c>
      <c r="H73" s="585"/>
      <c r="I73" s="586"/>
      <c r="J73" s="586"/>
      <c r="K73" s="587"/>
      <c r="L73" s="581"/>
      <c r="M73" s="172"/>
      <c r="N73" s="172"/>
      <c r="O73" s="172"/>
      <c r="P73" s="172"/>
      <c r="Q73" s="258"/>
      <c r="R73" s="258"/>
      <c r="S73" s="31"/>
      <c r="T73" s="31"/>
      <c r="U73" s="31"/>
      <c r="V73" s="2"/>
      <c r="W73" s="2"/>
      <c r="X73" s="2"/>
    </row>
    <row r="74" spans="1:24" s="52" customFormat="1" x14ac:dyDescent="0.3">
      <c r="A74" s="260">
        <v>43</v>
      </c>
      <c r="B74" s="261">
        <v>71</v>
      </c>
      <c r="C74" s="284">
        <v>43946</v>
      </c>
      <c r="D74" s="341"/>
      <c r="E74" s="342"/>
      <c r="F74" s="583"/>
      <c r="G74" s="287">
        <f>H$74/10</f>
        <v>3000</v>
      </c>
      <c r="H74" s="533">
        <v>30000</v>
      </c>
      <c r="I74" s="524"/>
      <c r="J74" s="524"/>
      <c r="K74" s="527">
        <f>H74/SUM(H4+H14+H64+H54+H44+H34+H24-I64-I54-I44-I34-J64-J54-J44-J34-I24-J24-I14-J14-I4-J4)</f>
        <v>0.17641662550278739</v>
      </c>
      <c r="L74" s="588">
        <f>H74*0.05</f>
        <v>1500</v>
      </c>
      <c r="M74" s="172"/>
      <c r="N74" s="172"/>
      <c r="O74" s="172"/>
      <c r="P74" s="172"/>
      <c r="Q74" s="258"/>
      <c r="R74" s="258"/>
      <c r="S74" s="31"/>
      <c r="T74" s="31"/>
      <c r="U74" s="31"/>
      <c r="V74" s="2"/>
      <c r="W74" s="2"/>
      <c r="X74" s="2"/>
    </row>
    <row r="75" spans="1:24" s="52" customFormat="1" x14ac:dyDescent="0.3">
      <c r="A75" s="260">
        <v>44</v>
      </c>
      <c r="B75" s="262">
        <v>72</v>
      </c>
      <c r="C75" s="288">
        <v>43947</v>
      </c>
      <c r="D75" s="302"/>
      <c r="E75" s="303"/>
      <c r="F75" s="584"/>
      <c r="G75" s="287">
        <f t="shared" ref="G75:G83" si="9">H$74/10</f>
        <v>3000</v>
      </c>
      <c r="H75" s="533"/>
      <c r="I75" s="524"/>
      <c r="J75" s="524"/>
      <c r="K75" s="527"/>
      <c r="L75" s="588"/>
      <c r="M75" s="172"/>
      <c r="N75" s="172"/>
      <c r="O75" s="172"/>
      <c r="P75" s="172"/>
      <c r="Q75" s="258"/>
      <c r="R75" s="258"/>
      <c r="S75" s="31"/>
      <c r="T75" s="31"/>
      <c r="U75" s="31"/>
      <c r="V75" s="2"/>
      <c r="W75" s="2"/>
      <c r="X75" s="2"/>
    </row>
    <row r="76" spans="1:24" s="52" customFormat="1" x14ac:dyDescent="0.3">
      <c r="A76" s="260">
        <v>45</v>
      </c>
      <c r="B76" s="262">
        <v>73</v>
      </c>
      <c r="C76" s="288">
        <v>43948</v>
      </c>
      <c r="D76" s="302"/>
      <c r="E76" s="303"/>
      <c r="F76" s="584"/>
      <c r="G76" s="287">
        <f t="shared" si="9"/>
        <v>3000</v>
      </c>
      <c r="H76" s="533"/>
      <c r="I76" s="524"/>
      <c r="J76" s="524"/>
      <c r="K76" s="527"/>
      <c r="L76" s="588"/>
      <c r="M76" s="172"/>
      <c r="N76" s="172"/>
      <c r="O76" s="172"/>
      <c r="P76" s="172"/>
      <c r="Q76" s="258"/>
      <c r="R76" s="258"/>
      <c r="S76" s="31"/>
      <c r="T76" s="31"/>
      <c r="U76" s="31"/>
      <c r="V76" s="2"/>
      <c r="W76" s="2"/>
      <c r="X76" s="2"/>
    </row>
    <row r="77" spans="1:24" s="52" customFormat="1" x14ac:dyDescent="0.3">
      <c r="A77" s="260">
        <v>46</v>
      </c>
      <c r="B77" s="262">
        <v>74</v>
      </c>
      <c r="C77" s="288">
        <v>43949</v>
      </c>
      <c r="D77" s="302"/>
      <c r="E77" s="303"/>
      <c r="F77" s="584"/>
      <c r="G77" s="287">
        <f t="shared" si="9"/>
        <v>3000</v>
      </c>
      <c r="H77" s="533"/>
      <c r="I77" s="524"/>
      <c r="J77" s="524"/>
      <c r="K77" s="527"/>
      <c r="L77" s="588"/>
      <c r="M77" s="172"/>
      <c r="N77" s="172"/>
      <c r="O77" s="172"/>
      <c r="P77" s="172"/>
      <c r="Q77" s="258"/>
      <c r="R77" s="258"/>
      <c r="S77" s="31"/>
      <c r="T77" s="31"/>
      <c r="U77" s="31"/>
      <c r="V77" s="2"/>
      <c r="W77" s="2"/>
      <c r="X77" s="2"/>
    </row>
    <row r="78" spans="1:24" s="52" customFormat="1" x14ac:dyDescent="0.3">
      <c r="A78" s="260">
        <v>47</v>
      </c>
      <c r="B78" s="262">
        <v>75</v>
      </c>
      <c r="C78" s="288">
        <v>43950</v>
      </c>
      <c r="D78" s="302"/>
      <c r="E78" s="303"/>
      <c r="F78" s="584"/>
      <c r="G78" s="287">
        <f t="shared" si="9"/>
        <v>3000</v>
      </c>
      <c r="H78" s="533"/>
      <c r="I78" s="524"/>
      <c r="J78" s="524"/>
      <c r="K78" s="527"/>
      <c r="L78" s="588"/>
      <c r="M78" s="172"/>
      <c r="N78" s="172"/>
      <c r="O78" s="172"/>
      <c r="P78" s="172"/>
      <c r="Q78" s="258"/>
      <c r="R78" s="258"/>
      <c r="S78" s="31"/>
      <c r="T78" s="31"/>
      <c r="U78" s="31"/>
      <c r="V78" s="2"/>
      <c r="W78" s="2"/>
      <c r="X78" s="2"/>
    </row>
    <row r="79" spans="1:24" s="52" customFormat="1" x14ac:dyDescent="0.3">
      <c r="A79" s="260">
        <v>48</v>
      </c>
      <c r="B79" s="262">
        <v>76</v>
      </c>
      <c r="C79" s="288">
        <v>43951</v>
      </c>
      <c r="D79" s="302"/>
      <c r="E79" s="303"/>
      <c r="F79" s="584"/>
      <c r="G79" s="287">
        <f t="shared" si="9"/>
        <v>3000</v>
      </c>
      <c r="H79" s="533"/>
      <c r="I79" s="524"/>
      <c r="J79" s="524"/>
      <c r="K79" s="527"/>
      <c r="L79" s="588"/>
      <c r="M79" s="172"/>
      <c r="N79" s="172"/>
      <c r="O79" s="172"/>
      <c r="P79" s="172"/>
      <c r="Q79" s="258"/>
      <c r="R79" s="258"/>
      <c r="S79" s="31"/>
      <c r="T79" s="31"/>
      <c r="U79" s="31"/>
      <c r="V79" s="2"/>
      <c r="W79" s="2"/>
      <c r="X79" s="2"/>
    </row>
    <row r="80" spans="1:24" s="52" customFormat="1" x14ac:dyDescent="0.3">
      <c r="A80" s="260">
        <v>49</v>
      </c>
      <c r="B80" s="262">
        <v>77</v>
      </c>
      <c r="C80" s="288">
        <v>43952</v>
      </c>
      <c r="D80" s="302"/>
      <c r="E80" s="303"/>
      <c r="F80" s="584"/>
      <c r="G80" s="287">
        <f t="shared" si="9"/>
        <v>3000</v>
      </c>
      <c r="H80" s="533"/>
      <c r="I80" s="524"/>
      <c r="J80" s="524"/>
      <c r="K80" s="527"/>
      <c r="L80" s="588"/>
      <c r="M80" s="172"/>
      <c r="N80" s="172"/>
      <c r="O80" s="172"/>
      <c r="P80" s="172"/>
      <c r="Q80" s="258"/>
      <c r="R80" s="258"/>
      <c r="S80" s="31"/>
      <c r="T80" s="31"/>
      <c r="U80" s="31"/>
      <c r="V80" s="2"/>
      <c r="W80" s="2"/>
      <c r="X80" s="2"/>
    </row>
    <row r="81" spans="1:24" s="52" customFormat="1" x14ac:dyDescent="0.3">
      <c r="A81" s="260">
        <v>50</v>
      </c>
      <c r="B81" s="262">
        <v>78</v>
      </c>
      <c r="C81" s="288">
        <v>43953</v>
      </c>
      <c r="D81" s="302"/>
      <c r="E81" s="303"/>
      <c r="F81" s="584"/>
      <c r="G81" s="287">
        <f t="shared" si="9"/>
        <v>3000</v>
      </c>
      <c r="H81" s="533"/>
      <c r="I81" s="524"/>
      <c r="J81" s="524"/>
      <c r="K81" s="527"/>
      <c r="L81" s="588"/>
      <c r="M81" s="172"/>
      <c r="N81" s="172"/>
      <c r="O81" s="172"/>
      <c r="P81" s="172"/>
      <c r="Q81" s="258"/>
      <c r="R81" s="258"/>
      <c r="S81" s="31"/>
      <c r="T81" s="31"/>
      <c r="U81" s="31"/>
      <c r="V81" s="2"/>
      <c r="W81" s="2"/>
      <c r="X81" s="2"/>
    </row>
    <row r="82" spans="1:24" s="52" customFormat="1" x14ac:dyDescent="0.3">
      <c r="A82" s="260">
        <v>51</v>
      </c>
      <c r="B82" s="262">
        <v>79</v>
      </c>
      <c r="C82" s="288">
        <v>43954</v>
      </c>
      <c r="D82" s="302"/>
      <c r="E82" s="303"/>
      <c r="F82" s="584"/>
      <c r="G82" s="287">
        <f t="shared" si="9"/>
        <v>3000</v>
      </c>
      <c r="H82" s="533"/>
      <c r="I82" s="524"/>
      <c r="J82" s="524"/>
      <c r="K82" s="527"/>
      <c r="L82" s="588"/>
      <c r="M82" s="172"/>
      <c r="N82" s="172"/>
      <c r="O82" s="172"/>
      <c r="P82" s="172"/>
      <c r="Q82" s="258"/>
      <c r="R82" s="258"/>
      <c r="S82" s="31"/>
      <c r="T82" s="31"/>
      <c r="U82" s="31"/>
      <c r="V82" s="2"/>
      <c r="W82" s="2"/>
      <c r="X82" s="2"/>
    </row>
    <row r="83" spans="1:24" s="52" customFormat="1" ht="19.5" thickBot="1" x14ac:dyDescent="0.35">
      <c r="A83" s="260">
        <v>52</v>
      </c>
      <c r="B83" s="263">
        <v>80</v>
      </c>
      <c r="C83" s="291">
        <v>43955</v>
      </c>
      <c r="D83" s="292"/>
      <c r="E83" s="293"/>
      <c r="F83" s="593"/>
      <c r="G83" s="287">
        <f t="shared" si="9"/>
        <v>3000</v>
      </c>
      <c r="H83" s="533"/>
      <c r="I83" s="524"/>
      <c r="J83" s="524"/>
      <c r="K83" s="527"/>
      <c r="L83" s="588"/>
      <c r="M83" s="172"/>
      <c r="N83" s="172"/>
      <c r="O83" s="172"/>
      <c r="P83" s="172"/>
      <c r="Q83" s="258"/>
      <c r="R83" s="258"/>
      <c r="S83" s="31"/>
      <c r="T83" s="31"/>
      <c r="U83" s="31"/>
      <c r="V83" s="2"/>
      <c r="W83" s="2"/>
      <c r="X83" s="2"/>
    </row>
    <row r="84" spans="1:24" s="52" customFormat="1" x14ac:dyDescent="0.3">
      <c r="A84" s="260">
        <v>53</v>
      </c>
      <c r="B84" s="283">
        <v>81</v>
      </c>
      <c r="C84" s="284">
        <v>43956</v>
      </c>
      <c r="D84" s="341"/>
      <c r="E84" s="342"/>
      <c r="F84" s="343"/>
      <c r="G84" s="287">
        <f>H$84/10</f>
        <v>2500</v>
      </c>
      <c r="H84" s="586">
        <v>25000</v>
      </c>
      <c r="I84" s="523"/>
      <c r="J84" s="523"/>
      <c r="K84" s="587">
        <f>H84/SUM(H4+H14+H24+H74+H64+H54+H44+H34-I74-I64-I54-I44-J74-J64-J54-J44-I34-J34-I24-J24-I14-J14-I4-J4)</f>
        <v>0.12496750844780358</v>
      </c>
      <c r="L84" s="581">
        <f>H84*0.05</f>
        <v>1250</v>
      </c>
      <c r="M84" s="172"/>
      <c r="N84" s="172"/>
      <c r="O84" s="172"/>
      <c r="P84" s="172"/>
      <c r="Q84" s="258"/>
      <c r="R84" s="258"/>
      <c r="S84" s="31"/>
      <c r="T84" s="31"/>
      <c r="U84" s="31"/>
      <c r="V84" s="2"/>
      <c r="W84" s="2"/>
      <c r="X84" s="2"/>
    </row>
    <row r="85" spans="1:24" s="52" customFormat="1" x14ac:dyDescent="0.3">
      <c r="A85" s="260">
        <v>54</v>
      </c>
      <c r="B85" s="262">
        <v>82</v>
      </c>
      <c r="C85" s="288">
        <v>43957</v>
      </c>
      <c r="D85" s="302"/>
      <c r="E85" s="303"/>
      <c r="F85" s="344"/>
      <c r="G85" s="287">
        <f t="shared" ref="G85:G93" si="10">H$84/10</f>
        <v>2500</v>
      </c>
      <c r="H85" s="586"/>
      <c r="I85" s="524"/>
      <c r="J85" s="524"/>
      <c r="K85" s="587"/>
      <c r="L85" s="581"/>
      <c r="M85" s="172"/>
      <c r="N85" s="172"/>
      <c r="O85" s="172"/>
      <c r="P85" s="172"/>
      <c r="Q85" s="258"/>
      <c r="R85" s="258"/>
      <c r="S85" s="31"/>
      <c r="T85" s="31"/>
      <c r="U85" s="31"/>
      <c r="V85" s="2"/>
      <c r="W85" s="2"/>
      <c r="X85" s="2"/>
    </row>
    <row r="86" spans="1:24" s="52" customFormat="1" x14ac:dyDescent="0.3">
      <c r="A86" s="260">
        <v>55</v>
      </c>
      <c r="B86" s="262">
        <v>83</v>
      </c>
      <c r="C86" s="288">
        <v>43958</v>
      </c>
      <c r="D86" s="302"/>
      <c r="E86" s="303"/>
      <c r="F86" s="344"/>
      <c r="G86" s="287">
        <f t="shared" si="10"/>
        <v>2500</v>
      </c>
      <c r="H86" s="586"/>
      <c r="I86" s="524"/>
      <c r="J86" s="524"/>
      <c r="K86" s="587"/>
      <c r="L86" s="581"/>
      <c r="M86" s="172"/>
      <c r="N86" s="172"/>
      <c r="O86" s="172"/>
      <c r="P86" s="172"/>
      <c r="Q86" s="258"/>
      <c r="R86" s="258"/>
      <c r="S86" s="31"/>
      <c r="T86" s="31"/>
      <c r="U86" s="31"/>
      <c r="V86" s="2"/>
      <c r="W86" s="2"/>
      <c r="X86" s="2"/>
    </row>
    <row r="87" spans="1:24" s="52" customFormat="1" x14ac:dyDescent="0.3">
      <c r="A87" s="260">
        <v>56</v>
      </c>
      <c r="B87" s="262">
        <v>84</v>
      </c>
      <c r="C87" s="288">
        <v>43959</v>
      </c>
      <c r="D87" s="302"/>
      <c r="E87" s="303"/>
      <c r="F87" s="344"/>
      <c r="G87" s="287">
        <f t="shared" si="10"/>
        <v>2500</v>
      </c>
      <c r="H87" s="586"/>
      <c r="I87" s="524"/>
      <c r="J87" s="524"/>
      <c r="K87" s="587"/>
      <c r="L87" s="581"/>
      <c r="M87" s="172"/>
      <c r="N87" s="172"/>
      <c r="O87" s="172"/>
      <c r="P87" s="172"/>
      <c r="Q87" s="258"/>
      <c r="R87" s="258"/>
      <c r="S87" s="31"/>
      <c r="T87" s="31"/>
      <c r="U87" s="31"/>
      <c r="V87" s="2"/>
      <c r="W87" s="2"/>
      <c r="X87" s="2"/>
    </row>
    <row r="88" spans="1:24" s="52" customFormat="1" ht="23.25" customHeight="1" x14ac:dyDescent="0.3">
      <c r="A88" s="260">
        <v>57</v>
      </c>
      <c r="B88" s="262">
        <v>85</v>
      </c>
      <c r="C88" s="288">
        <v>43960</v>
      </c>
      <c r="D88" s="302"/>
      <c r="E88" s="303"/>
      <c r="F88" s="344"/>
      <c r="G88" s="287">
        <f t="shared" si="10"/>
        <v>2500</v>
      </c>
      <c r="H88" s="586"/>
      <c r="I88" s="524"/>
      <c r="J88" s="524"/>
      <c r="K88" s="587"/>
      <c r="L88" s="581"/>
      <c r="M88" s="172"/>
      <c r="N88" s="172"/>
      <c r="O88" s="172"/>
      <c r="P88" s="172"/>
      <c r="Q88" s="258"/>
      <c r="R88" s="258"/>
      <c r="S88" s="31"/>
      <c r="T88" s="31"/>
      <c r="U88" s="31"/>
      <c r="V88" s="2"/>
      <c r="W88" s="2"/>
      <c r="X88" s="2"/>
    </row>
    <row r="89" spans="1:24" s="52" customFormat="1" x14ac:dyDescent="0.3">
      <c r="A89" s="260">
        <v>58</v>
      </c>
      <c r="B89" s="262">
        <v>86</v>
      </c>
      <c r="C89" s="288">
        <v>43961</v>
      </c>
      <c r="D89" s="302"/>
      <c r="E89" s="303"/>
      <c r="F89" s="344"/>
      <c r="G89" s="287">
        <f t="shared" si="10"/>
        <v>2500</v>
      </c>
      <c r="H89" s="586"/>
      <c r="I89" s="524"/>
      <c r="J89" s="524"/>
      <c r="K89" s="587"/>
      <c r="L89" s="581"/>
      <c r="M89" s="172"/>
      <c r="N89" s="172"/>
      <c r="O89" s="172"/>
      <c r="P89" s="172"/>
      <c r="Q89" s="258"/>
      <c r="R89" s="258"/>
      <c r="S89" s="31"/>
      <c r="T89" s="31"/>
      <c r="U89" s="31"/>
      <c r="V89" s="2"/>
      <c r="W89" s="2"/>
      <c r="X89" s="2"/>
    </row>
    <row r="90" spans="1:24" s="52" customFormat="1" x14ac:dyDescent="0.3">
      <c r="A90" s="260">
        <v>59</v>
      </c>
      <c r="B90" s="262">
        <v>87</v>
      </c>
      <c r="C90" s="288">
        <v>43962</v>
      </c>
      <c r="D90" s="302"/>
      <c r="E90" s="303"/>
      <c r="F90" s="344"/>
      <c r="G90" s="287">
        <f t="shared" si="10"/>
        <v>2500</v>
      </c>
      <c r="H90" s="586"/>
      <c r="I90" s="524"/>
      <c r="J90" s="524"/>
      <c r="K90" s="587"/>
      <c r="L90" s="581"/>
      <c r="M90" s="172"/>
      <c r="N90" s="172"/>
      <c r="O90" s="172"/>
      <c r="P90" s="172"/>
      <c r="Q90" s="258"/>
      <c r="R90" s="258"/>
      <c r="S90" s="31"/>
      <c r="T90" s="31"/>
      <c r="U90" s="31"/>
      <c r="V90" s="2"/>
      <c r="W90" s="2"/>
      <c r="X90" s="2"/>
    </row>
    <row r="91" spans="1:24" s="52" customFormat="1" x14ac:dyDescent="0.3">
      <c r="A91" s="260">
        <v>60</v>
      </c>
      <c r="B91" s="262">
        <v>88</v>
      </c>
      <c r="C91" s="288">
        <v>43963</v>
      </c>
      <c r="D91" s="302"/>
      <c r="E91" s="303"/>
      <c r="F91" s="344"/>
      <c r="G91" s="287">
        <f t="shared" si="10"/>
        <v>2500</v>
      </c>
      <c r="H91" s="586"/>
      <c r="I91" s="524"/>
      <c r="J91" s="524"/>
      <c r="K91" s="587"/>
      <c r="L91" s="581"/>
      <c r="M91" s="172"/>
      <c r="N91" s="172"/>
      <c r="O91" s="172"/>
      <c r="P91" s="172"/>
      <c r="Q91" s="258"/>
      <c r="R91" s="258"/>
      <c r="S91" s="31"/>
      <c r="T91" s="31"/>
      <c r="U91" s="31"/>
      <c r="V91" s="2"/>
      <c r="W91" s="2"/>
      <c r="X91" s="2"/>
    </row>
    <row r="92" spans="1:24" s="52" customFormat="1" x14ac:dyDescent="0.3">
      <c r="A92" s="260">
        <v>61</v>
      </c>
      <c r="B92" s="262">
        <v>89</v>
      </c>
      <c r="C92" s="288">
        <v>43964</v>
      </c>
      <c r="D92" s="302"/>
      <c r="E92" s="303"/>
      <c r="F92" s="344"/>
      <c r="G92" s="287">
        <f t="shared" si="10"/>
        <v>2500</v>
      </c>
      <c r="H92" s="586"/>
      <c r="I92" s="524"/>
      <c r="J92" s="524"/>
      <c r="K92" s="587"/>
      <c r="L92" s="581"/>
      <c r="M92" s="172"/>
      <c r="N92" s="172"/>
      <c r="O92" s="172"/>
      <c r="P92" s="172"/>
      <c r="Q92" s="258"/>
      <c r="R92" s="258"/>
      <c r="S92" s="31"/>
      <c r="T92" s="31"/>
      <c r="U92" s="31"/>
      <c r="V92" s="2"/>
      <c r="W92" s="2"/>
      <c r="X92" s="2"/>
    </row>
    <row r="93" spans="1:24" s="52" customFormat="1" ht="19.5" thickBot="1" x14ac:dyDescent="0.35">
      <c r="A93" s="260">
        <v>62</v>
      </c>
      <c r="B93" s="263">
        <v>90</v>
      </c>
      <c r="C93" s="291">
        <v>43965</v>
      </c>
      <c r="D93" s="292"/>
      <c r="E93" s="293"/>
      <c r="F93" s="345"/>
      <c r="G93" s="287">
        <f t="shared" si="10"/>
        <v>2500</v>
      </c>
      <c r="H93" s="586"/>
      <c r="I93" s="525"/>
      <c r="J93" s="525"/>
      <c r="K93" s="587"/>
      <c r="L93" s="581"/>
      <c r="M93" s="172"/>
      <c r="N93" s="172"/>
      <c r="O93" s="172"/>
      <c r="P93" s="172"/>
      <c r="Q93" s="258"/>
      <c r="R93" s="258"/>
      <c r="S93" s="31"/>
      <c r="T93" s="31"/>
      <c r="U93" s="31"/>
      <c r="V93" s="2"/>
      <c r="W93" s="2"/>
      <c r="X93" s="2"/>
    </row>
    <row r="94" spans="1:24" s="52" customFormat="1" x14ac:dyDescent="0.3">
      <c r="A94" s="260">
        <v>63</v>
      </c>
      <c r="B94" s="261">
        <v>91</v>
      </c>
      <c r="C94" s="284">
        <v>43966</v>
      </c>
      <c r="D94" s="341"/>
      <c r="E94" s="342"/>
      <c r="F94" s="343"/>
      <c r="G94" s="287">
        <f>H$94/10</f>
        <v>2000</v>
      </c>
      <c r="H94" s="533">
        <v>20000</v>
      </c>
      <c r="I94" s="346"/>
      <c r="J94" s="346"/>
      <c r="K94" s="527">
        <f>H94/SUM(H4+H14+H24+H34+H84+H74+H64+H54+H44-I84-I74-I64-I54-J84-J74-J64-J54-I44-J44-I34-J34-I24-J24-I14-J14-I4-J4)</f>
        <v>8.8868350425679393E-2</v>
      </c>
      <c r="L94" s="588">
        <f>H94*0.05</f>
        <v>1000</v>
      </c>
      <c r="M94" s="172"/>
      <c r="N94" s="172"/>
      <c r="O94" s="172"/>
      <c r="P94" s="172"/>
      <c r="Q94" s="258"/>
      <c r="R94" s="258"/>
      <c r="S94" s="31"/>
      <c r="T94" s="31"/>
      <c r="U94" s="31"/>
      <c r="V94" s="2"/>
      <c r="W94" s="2"/>
      <c r="X94" s="2"/>
    </row>
    <row r="95" spans="1:24" s="52" customFormat="1" x14ac:dyDescent="0.3">
      <c r="A95" s="260">
        <v>64</v>
      </c>
      <c r="B95" s="262">
        <v>92</v>
      </c>
      <c r="C95" s="288">
        <v>43967</v>
      </c>
      <c r="D95" s="302"/>
      <c r="E95" s="303"/>
      <c r="F95" s="344"/>
      <c r="G95" s="287">
        <f t="shared" ref="G95:G103" si="11">H$94/10</f>
        <v>2000</v>
      </c>
      <c r="H95" s="533"/>
      <c r="I95" s="346"/>
      <c r="J95" s="346"/>
      <c r="K95" s="527"/>
      <c r="L95" s="588"/>
      <c r="M95" s="172"/>
      <c r="N95" s="172"/>
      <c r="O95" s="172"/>
      <c r="P95" s="172"/>
      <c r="Q95" s="258"/>
      <c r="R95" s="258"/>
      <c r="S95" s="31"/>
      <c r="T95" s="31"/>
      <c r="U95" s="31"/>
      <c r="V95" s="2"/>
      <c r="W95" s="2"/>
      <c r="X95" s="2"/>
    </row>
    <row r="96" spans="1:24" s="52" customFormat="1" x14ac:dyDescent="0.3">
      <c r="A96" s="260">
        <v>65</v>
      </c>
      <c r="B96" s="262">
        <v>93</v>
      </c>
      <c r="C96" s="288">
        <v>43968</v>
      </c>
      <c r="D96" s="302"/>
      <c r="E96" s="303"/>
      <c r="F96" s="344"/>
      <c r="G96" s="287">
        <f t="shared" si="11"/>
        <v>2000</v>
      </c>
      <c r="H96" s="533"/>
      <c r="I96" s="346"/>
      <c r="J96" s="346"/>
      <c r="K96" s="527"/>
      <c r="L96" s="588"/>
      <c r="M96" s="172"/>
      <c r="N96" s="172"/>
      <c r="O96" s="172"/>
      <c r="P96" s="172"/>
      <c r="Q96" s="258"/>
      <c r="R96" s="258"/>
      <c r="S96" s="31"/>
      <c r="T96" s="31"/>
      <c r="U96" s="31"/>
      <c r="V96" s="2"/>
      <c r="W96" s="2"/>
      <c r="X96" s="2"/>
    </row>
    <row r="97" spans="1:24" s="52" customFormat="1" x14ac:dyDescent="0.3">
      <c r="A97" s="260">
        <v>66</v>
      </c>
      <c r="B97" s="262">
        <v>94</v>
      </c>
      <c r="C97" s="288">
        <v>43969</v>
      </c>
      <c r="D97" s="302"/>
      <c r="E97" s="303"/>
      <c r="F97" s="344"/>
      <c r="G97" s="287">
        <f t="shared" si="11"/>
        <v>2000</v>
      </c>
      <c r="H97" s="533"/>
      <c r="I97" s="346"/>
      <c r="J97" s="346"/>
      <c r="K97" s="527"/>
      <c r="L97" s="588"/>
      <c r="M97" s="172"/>
      <c r="N97" s="172"/>
      <c r="O97" s="172"/>
      <c r="P97" s="172"/>
      <c r="Q97" s="258"/>
      <c r="R97" s="258"/>
      <c r="S97" s="31"/>
      <c r="T97" s="31"/>
      <c r="U97" s="31"/>
      <c r="V97" s="2"/>
      <c r="W97" s="2"/>
      <c r="X97" s="2"/>
    </row>
    <row r="98" spans="1:24" s="52" customFormat="1" x14ac:dyDescent="0.3">
      <c r="A98" s="260">
        <v>67</v>
      </c>
      <c r="B98" s="215">
        <v>95</v>
      </c>
      <c r="C98" s="288">
        <v>43970</v>
      </c>
      <c r="D98" s="302"/>
      <c r="E98" s="303"/>
      <c r="F98" s="344"/>
      <c r="G98" s="287">
        <f t="shared" si="11"/>
        <v>2000</v>
      </c>
      <c r="H98" s="533"/>
      <c r="I98" s="346"/>
      <c r="J98" s="346"/>
      <c r="K98" s="527"/>
      <c r="L98" s="588"/>
      <c r="M98" s="172"/>
      <c r="N98" s="172"/>
      <c r="O98" s="172"/>
      <c r="P98" s="172"/>
      <c r="Q98" s="258"/>
      <c r="R98" s="258"/>
      <c r="S98" s="31"/>
      <c r="T98" s="31"/>
      <c r="U98" s="31"/>
      <c r="V98" s="2"/>
      <c r="W98" s="2"/>
      <c r="X98" s="2"/>
    </row>
    <row r="99" spans="1:24" s="52" customFormat="1" x14ac:dyDescent="0.3">
      <c r="A99" s="260">
        <v>68</v>
      </c>
      <c r="B99" s="262">
        <v>96</v>
      </c>
      <c r="C99" s="288">
        <v>43971</v>
      </c>
      <c r="D99" s="302"/>
      <c r="E99" s="303"/>
      <c r="F99" s="344"/>
      <c r="G99" s="287">
        <f t="shared" si="11"/>
        <v>2000</v>
      </c>
      <c r="H99" s="533"/>
      <c r="I99" s="346"/>
      <c r="J99" s="346"/>
      <c r="K99" s="527"/>
      <c r="L99" s="588"/>
      <c r="M99" s="172"/>
      <c r="N99" s="172"/>
      <c r="O99" s="172"/>
      <c r="P99" s="172"/>
      <c r="Q99" s="258"/>
      <c r="R99" s="258"/>
      <c r="S99" s="31"/>
      <c r="T99" s="31"/>
      <c r="U99" s="31"/>
      <c r="V99" s="2"/>
      <c r="W99" s="2"/>
      <c r="X99" s="2"/>
    </row>
    <row r="100" spans="1:24" s="52" customFormat="1" x14ac:dyDescent="0.3">
      <c r="A100" s="260">
        <v>69</v>
      </c>
      <c r="B100" s="262">
        <v>97</v>
      </c>
      <c r="C100" s="288">
        <v>43972</v>
      </c>
      <c r="D100" s="302"/>
      <c r="E100" s="303"/>
      <c r="F100" s="344"/>
      <c r="G100" s="287">
        <f t="shared" si="11"/>
        <v>2000</v>
      </c>
      <c r="H100" s="533"/>
      <c r="I100" s="346"/>
      <c r="J100" s="346"/>
      <c r="K100" s="527"/>
      <c r="L100" s="588"/>
      <c r="M100" s="172"/>
      <c r="N100" s="172"/>
      <c r="O100" s="172"/>
      <c r="P100" s="172"/>
      <c r="Q100" s="258"/>
      <c r="R100" s="258"/>
      <c r="S100" s="31"/>
      <c r="T100" s="31"/>
      <c r="U100" s="31"/>
      <c r="V100" s="2"/>
      <c r="W100" s="2"/>
      <c r="X100" s="2"/>
    </row>
    <row r="101" spans="1:24" s="52" customFormat="1" x14ac:dyDescent="0.3">
      <c r="A101" s="260">
        <v>70</v>
      </c>
      <c r="B101" s="262">
        <v>98</v>
      </c>
      <c r="C101" s="288">
        <v>43973</v>
      </c>
      <c r="D101" s="302"/>
      <c r="E101" s="303"/>
      <c r="F101" s="344"/>
      <c r="G101" s="287">
        <f t="shared" si="11"/>
        <v>2000</v>
      </c>
      <c r="H101" s="533"/>
      <c r="I101" s="346"/>
      <c r="J101" s="346"/>
      <c r="K101" s="527"/>
      <c r="L101" s="588"/>
      <c r="M101" s="172"/>
      <c r="N101" s="172"/>
      <c r="O101" s="172"/>
      <c r="P101" s="172"/>
      <c r="Q101" s="258"/>
      <c r="R101" s="258"/>
      <c r="S101" s="31"/>
      <c r="T101" s="31"/>
      <c r="U101" s="31"/>
      <c r="V101" s="2"/>
      <c r="W101" s="2"/>
      <c r="X101" s="2"/>
    </row>
    <row r="102" spans="1:24" s="52" customFormat="1" x14ac:dyDescent="0.3">
      <c r="A102" s="260">
        <v>71</v>
      </c>
      <c r="B102" s="262">
        <v>99</v>
      </c>
      <c r="C102" s="288">
        <v>43974</v>
      </c>
      <c r="D102" s="302"/>
      <c r="E102" s="303"/>
      <c r="F102" s="344"/>
      <c r="G102" s="287">
        <f t="shared" si="11"/>
        <v>2000</v>
      </c>
      <c r="H102" s="533"/>
      <c r="I102" s="346"/>
      <c r="J102" s="346"/>
      <c r="K102" s="527"/>
      <c r="L102" s="588"/>
      <c r="M102" s="172"/>
      <c r="N102" s="172"/>
      <c r="O102" s="172"/>
      <c r="P102" s="172"/>
      <c r="Q102" s="258"/>
      <c r="R102" s="258"/>
      <c r="S102" s="31"/>
      <c r="T102" s="31"/>
      <c r="U102" s="31"/>
      <c r="V102" s="2"/>
      <c r="W102" s="2"/>
      <c r="X102" s="2"/>
    </row>
    <row r="103" spans="1:24" s="52" customFormat="1" ht="19.5" thickBot="1" x14ac:dyDescent="0.35">
      <c r="A103" s="260">
        <v>72</v>
      </c>
      <c r="B103" s="263">
        <v>100</v>
      </c>
      <c r="C103" s="291">
        <v>43975</v>
      </c>
      <c r="D103" s="292"/>
      <c r="E103" s="293"/>
      <c r="F103" s="344"/>
      <c r="G103" s="287">
        <f t="shared" si="11"/>
        <v>2000</v>
      </c>
      <c r="H103" s="589"/>
      <c r="I103" s="347"/>
      <c r="J103" s="347"/>
      <c r="K103" s="590"/>
      <c r="L103" s="591"/>
      <c r="M103" s="172"/>
      <c r="N103" s="172"/>
      <c r="O103" s="172"/>
      <c r="P103" s="172"/>
      <c r="Q103" s="258"/>
      <c r="R103" s="258"/>
      <c r="S103" s="31"/>
      <c r="T103" s="31"/>
      <c r="U103" s="31"/>
      <c r="V103" s="2"/>
      <c r="W103" s="2"/>
      <c r="X103" s="2"/>
    </row>
    <row r="104" spans="1:24" s="52" customFormat="1" ht="23.25" customHeight="1" x14ac:dyDescent="0.3">
      <c r="A104" s="260">
        <v>73</v>
      </c>
      <c r="B104" s="283">
        <v>101</v>
      </c>
      <c r="C104" s="284">
        <v>43976</v>
      </c>
      <c r="D104" s="341"/>
      <c r="E104" s="342"/>
      <c r="F104" s="348"/>
      <c r="G104" s="349">
        <f>H$104/10</f>
        <v>1500</v>
      </c>
      <c r="H104" s="586">
        <v>15000</v>
      </c>
      <c r="I104" s="523"/>
      <c r="J104" s="523"/>
      <c r="K104" s="587">
        <f>H104/SUM(H4+H14+H24+H34+H44+H94+H84+H74+H64+H54-I94-I84-I74-I64-J94-J84-J74-J64-I54-J54-I44-J44-I34-J34-I24-J24-I14-J14-I4-J4)</f>
        <v>6.1211497967778271E-2</v>
      </c>
      <c r="L104" s="581">
        <f>H104*0.05</f>
        <v>750</v>
      </c>
      <c r="M104" s="172"/>
      <c r="N104" s="172"/>
      <c r="O104" s="172"/>
      <c r="P104" s="172"/>
      <c r="Q104" s="258"/>
      <c r="R104" s="258"/>
      <c r="S104" s="31"/>
      <c r="T104" s="31"/>
      <c r="U104" s="31"/>
      <c r="V104" s="2"/>
      <c r="W104" s="2"/>
      <c r="X104" s="2"/>
    </row>
    <row r="105" spans="1:24" s="52" customFormat="1" ht="23.25" customHeight="1" x14ac:dyDescent="0.3">
      <c r="A105" s="260">
        <v>74</v>
      </c>
      <c r="B105" s="262">
        <v>102</v>
      </c>
      <c r="C105" s="288">
        <v>43977</v>
      </c>
      <c r="D105" s="302"/>
      <c r="E105" s="303"/>
      <c r="F105" s="350"/>
      <c r="G105" s="349">
        <f t="shared" ref="G105:G113" si="12">H$104/10</f>
        <v>1500</v>
      </c>
      <c r="H105" s="586"/>
      <c r="I105" s="524"/>
      <c r="J105" s="524"/>
      <c r="K105" s="587"/>
      <c r="L105" s="581"/>
      <c r="M105" s="172"/>
      <c r="N105" s="172"/>
      <c r="O105" s="172"/>
      <c r="P105" s="172"/>
      <c r="Q105" s="258"/>
      <c r="R105" s="258"/>
      <c r="S105" s="31"/>
      <c r="T105" s="31"/>
      <c r="U105" s="31"/>
      <c r="V105" s="2"/>
      <c r="W105" s="2"/>
      <c r="X105" s="2"/>
    </row>
    <row r="106" spans="1:24" s="52" customFormat="1" ht="23.25" customHeight="1" x14ac:dyDescent="0.3">
      <c r="A106" s="260">
        <v>75</v>
      </c>
      <c r="B106" s="262">
        <v>103</v>
      </c>
      <c r="C106" s="288">
        <v>43978</v>
      </c>
      <c r="D106" s="302"/>
      <c r="E106" s="303"/>
      <c r="F106" s="350"/>
      <c r="G106" s="349">
        <f t="shared" si="12"/>
        <v>1500</v>
      </c>
      <c r="H106" s="586"/>
      <c r="I106" s="524"/>
      <c r="J106" s="524"/>
      <c r="K106" s="587"/>
      <c r="L106" s="581"/>
      <c r="M106" s="172"/>
      <c r="N106" s="172"/>
      <c r="O106" s="172"/>
      <c r="P106" s="172"/>
      <c r="Q106" s="258"/>
      <c r="R106" s="258"/>
      <c r="S106" s="31"/>
      <c r="T106" s="31"/>
      <c r="U106" s="31"/>
      <c r="V106" s="2"/>
      <c r="W106" s="2"/>
      <c r="X106" s="2"/>
    </row>
    <row r="107" spans="1:24" s="52" customFormat="1" ht="23.25" customHeight="1" x14ac:dyDescent="0.3">
      <c r="A107" s="260">
        <v>76</v>
      </c>
      <c r="B107" s="262">
        <v>104</v>
      </c>
      <c r="C107" s="288">
        <v>43979</v>
      </c>
      <c r="D107" s="302"/>
      <c r="E107" s="303"/>
      <c r="F107" s="350"/>
      <c r="G107" s="349">
        <f t="shared" si="12"/>
        <v>1500</v>
      </c>
      <c r="H107" s="586"/>
      <c r="I107" s="524"/>
      <c r="J107" s="524"/>
      <c r="K107" s="587"/>
      <c r="L107" s="581"/>
      <c r="M107" s="172"/>
      <c r="N107" s="172"/>
      <c r="O107" s="172"/>
      <c r="P107" s="172"/>
      <c r="Q107" s="258"/>
      <c r="R107" s="258"/>
      <c r="S107" s="31"/>
      <c r="T107" s="31"/>
      <c r="U107" s="31"/>
      <c r="V107" s="2"/>
      <c r="W107" s="2"/>
      <c r="X107" s="2"/>
    </row>
    <row r="108" spans="1:24" s="52" customFormat="1" ht="23.25" customHeight="1" x14ac:dyDescent="0.3">
      <c r="A108" s="260">
        <v>77</v>
      </c>
      <c r="B108" s="262">
        <v>105</v>
      </c>
      <c r="C108" s="288">
        <v>43980</v>
      </c>
      <c r="D108" s="302"/>
      <c r="E108" s="303"/>
      <c r="F108" s="350"/>
      <c r="G108" s="349">
        <f t="shared" si="12"/>
        <v>1500</v>
      </c>
      <c r="H108" s="586"/>
      <c r="I108" s="524"/>
      <c r="J108" s="524"/>
      <c r="K108" s="587"/>
      <c r="L108" s="581"/>
      <c r="M108" s="172"/>
      <c r="N108" s="172"/>
      <c r="O108" s="172"/>
      <c r="P108" s="172"/>
      <c r="Q108" s="258"/>
      <c r="R108" s="258"/>
      <c r="S108" s="31"/>
      <c r="T108" s="31"/>
      <c r="U108" s="31"/>
      <c r="V108" s="2"/>
      <c r="W108" s="2"/>
      <c r="X108" s="2"/>
    </row>
    <row r="109" spans="1:24" s="52" customFormat="1" ht="23.25" customHeight="1" x14ac:dyDescent="0.3">
      <c r="A109" s="260">
        <v>78</v>
      </c>
      <c r="B109" s="262">
        <v>106</v>
      </c>
      <c r="C109" s="288">
        <v>43981</v>
      </c>
      <c r="D109" s="302"/>
      <c r="E109" s="303"/>
      <c r="F109" s="350"/>
      <c r="G109" s="349">
        <f t="shared" si="12"/>
        <v>1500</v>
      </c>
      <c r="H109" s="586"/>
      <c r="I109" s="524"/>
      <c r="J109" s="524"/>
      <c r="K109" s="587"/>
      <c r="L109" s="581"/>
      <c r="M109" s="172"/>
      <c r="N109" s="172"/>
      <c r="O109" s="172"/>
      <c r="P109" s="172"/>
      <c r="Q109" s="258"/>
      <c r="R109" s="258"/>
      <c r="S109" s="31"/>
      <c r="T109" s="31"/>
      <c r="U109" s="31"/>
      <c r="V109" s="2"/>
      <c r="W109" s="2"/>
      <c r="X109" s="2"/>
    </row>
    <row r="110" spans="1:24" s="52" customFormat="1" ht="23.25" customHeight="1" x14ac:dyDescent="0.3">
      <c r="A110" s="260">
        <v>79</v>
      </c>
      <c r="B110" s="262">
        <v>107</v>
      </c>
      <c r="C110" s="288">
        <v>43982</v>
      </c>
      <c r="D110" s="302"/>
      <c r="E110" s="303"/>
      <c r="F110" s="350"/>
      <c r="G110" s="349">
        <f t="shared" si="12"/>
        <v>1500</v>
      </c>
      <c r="H110" s="586"/>
      <c r="I110" s="524"/>
      <c r="J110" s="524"/>
      <c r="K110" s="587"/>
      <c r="L110" s="581"/>
      <c r="M110" s="172"/>
      <c r="N110" s="172"/>
      <c r="O110" s="172"/>
      <c r="P110" s="172"/>
      <c r="Q110" s="258"/>
      <c r="R110" s="258"/>
      <c r="S110" s="31"/>
      <c r="T110" s="31"/>
      <c r="U110" s="31"/>
      <c r="V110" s="2"/>
      <c r="W110" s="2"/>
      <c r="X110" s="2"/>
    </row>
    <row r="111" spans="1:24" s="52" customFormat="1" ht="23.25" customHeight="1" x14ac:dyDescent="0.3">
      <c r="A111" s="260">
        <v>80</v>
      </c>
      <c r="B111" s="262">
        <v>108</v>
      </c>
      <c r="C111" s="288">
        <v>43983</v>
      </c>
      <c r="D111" s="302"/>
      <c r="E111" s="303"/>
      <c r="F111" s="350"/>
      <c r="G111" s="349">
        <f t="shared" si="12"/>
        <v>1500</v>
      </c>
      <c r="H111" s="586"/>
      <c r="I111" s="524"/>
      <c r="J111" s="524"/>
      <c r="K111" s="587"/>
      <c r="L111" s="581"/>
      <c r="M111" s="172"/>
      <c r="N111" s="172"/>
      <c r="O111" s="172"/>
      <c r="P111" s="172"/>
      <c r="Q111" s="258"/>
      <c r="R111" s="258"/>
      <c r="S111" s="31"/>
      <c r="T111" s="31"/>
      <c r="U111" s="31"/>
      <c r="V111" s="2"/>
      <c r="W111" s="2"/>
      <c r="X111" s="2"/>
    </row>
    <row r="112" spans="1:24" s="52" customFormat="1" ht="23.25" customHeight="1" x14ac:dyDescent="0.3">
      <c r="A112" s="260">
        <v>81</v>
      </c>
      <c r="B112" s="262">
        <v>109</v>
      </c>
      <c r="C112" s="288">
        <v>43984</v>
      </c>
      <c r="D112" s="302"/>
      <c r="E112" s="303"/>
      <c r="F112" s="350"/>
      <c r="G112" s="349">
        <f t="shared" si="12"/>
        <v>1500</v>
      </c>
      <c r="H112" s="586"/>
      <c r="I112" s="524"/>
      <c r="J112" s="524"/>
      <c r="K112" s="587"/>
      <c r="L112" s="581"/>
      <c r="M112" s="172"/>
      <c r="N112" s="172"/>
      <c r="O112" s="172"/>
      <c r="P112" s="172"/>
      <c r="Q112" s="258"/>
      <c r="R112" s="258"/>
      <c r="S112" s="31"/>
      <c r="T112" s="31"/>
      <c r="U112" s="31"/>
      <c r="V112" s="2"/>
      <c r="W112" s="2"/>
      <c r="X112" s="2"/>
    </row>
    <row r="113" spans="1:24" s="52" customFormat="1" ht="24.75" customHeight="1" thickBot="1" x14ac:dyDescent="0.35">
      <c r="A113" s="260">
        <v>82</v>
      </c>
      <c r="B113" s="300">
        <v>110</v>
      </c>
      <c r="C113" s="301">
        <v>43985</v>
      </c>
      <c r="D113" s="302"/>
      <c r="E113" s="303"/>
      <c r="F113" s="350"/>
      <c r="G113" s="349">
        <f t="shared" si="12"/>
        <v>1500</v>
      </c>
      <c r="H113" s="586"/>
      <c r="I113" s="525"/>
      <c r="J113" s="525"/>
      <c r="K113" s="587"/>
      <c r="L113" s="581"/>
      <c r="M113" s="172"/>
      <c r="N113" s="172"/>
      <c r="O113" s="172"/>
      <c r="P113" s="172"/>
      <c r="Q113" s="258"/>
      <c r="R113" s="258"/>
      <c r="S113" s="31"/>
      <c r="T113" s="31"/>
      <c r="U113" s="31"/>
      <c r="V113" s="2"/>
      <c r="W113" s="2"/>
      <c r="X113" s="2"/>
    </row>
    <row r="114" spans="1:24" s="52" customFormat="1" ht="18" customHeight="1" x14ac:dyDescent="0.3">
      <c r="A114" s="260">
        <v>83</v>
      </c>
      <c r="B114" s="261">
        <v>111</v>
      </c>
      <c r="C114" s="284">
        <v>43986</v>
      </c>
      <c r="D114" s="341"/>
      <c r="E114" s="342"/>
      <c r="F114" s="348"/>
      <c r="G114" s="349">
        <f>H$114/10</f>
        <v>1200</v>
      </c>
      <c r="H114" s="533">
        <v>12000</v>
      </c>
      <c r="I114" s="346"/>
      <c r="J114" s="346"/>
      <c r="K114" s="527">
        <f>H114/SUM(H4+H14+H24+H34+H44+H54+H104+H94+H84+H74+H64-I104-I94-I84-I74-J104-J94-J84-J74-I64-J64-I54-J54-I44-J44-I34-J34-I24-J24-I14-J14-I4-J4)</f>
        <v>4.6144617230400073E-2</v>
      </c>
      <c r="L114" s="594">
        <f>H114*0.05</f>
        <v>600</v>
      </c>
      <c r="M114" s="172"/>
      <c r="N114" s="172"/>
      <c r="O114" s="172"/>
      <c r="P114" s="172"/>
      <c r="Q114" s="258"/>
      <c r="R114" s="258"/>
      <c r="S114" s="31"/>
      <c r="T114" s="31"/>
      <c r="U114" s="31"/>
      <c r="V114" s="2"/>
      <c r="W114" s="2"/>
      <c r="X114" s="2"/>
    </row>
    <row r="115" spans="1:24" s="52" customFormat="1" ht="18" customHeight="1" x14ac:dyDescent="0.3">
      <c r="A115" s="260">
        <v>84</v>
      </c>
      <c r="B115" s="262">
        <v>112</v>
      </c>
      <c r="C115" s="288">
        <v>43987</v>
      </c>
      <c r="D115" s="302"/>
      <c r="E115" s="303"/>
      <c r="F115" s="350"/>
      <c r="G115" s="349">
        <f t="shared" ref="G115:G123" si="13">H$114/10</f>
        <v>1200</v>
      </c>
      <c r="H115" s="533"/>
      <c r="I115" s="346"/>
      <c r="J115" s="346"/>
      <c r="K115" s="527"/>
      <c r="L115" s="594"/>
      <c r="M115" s="172"/>
      <c r="N115" s="172"/>
      <c r="O115" s="172"/>
      <c r="P115" s="172"/>
      <c r="Q115" s="258"/>
      <c r="R115" s="258"/>
      <c r="S115" s="31"/>
      <c r="T115" s="31"/>
      <c r="U115" s="31"/>
      <c r="V115" s="2"/>
      <c r="W115" s="2"/>
      <c r="X115" s="2"/>
    </row>
    <row r="116" spans="1:24" s="52" customFormat="1" ht="18" customHeight="1" x14ac:dyDescent="0.3">
      <c r="A116" s="260">
        <v>85</v>
      </c>
      <c r="B116" s="262">
        <v>113</v>
      </c>
      <c r="C116" s="288">
        <v>43988</v>
      </c>
      <c r="D116" s="302"/>
      <c r="E116" s="303"/>
      <c r="F116" s="350"/>
      <c r="G116" s="349">
        <f t="shared" si="13"/>
        <v>1200</v>
      </c>
      <c r="H116" s="533"/>
      <c r="I116" s="346"/>
      <c r="J116" s="346"/>
      <c r="K116" s="527"/>
      <c r="L116" s="594"/>
      <c r="M116" s="172"/>
      <c r="N116" s="172"/>
      <c r="O116" s="172"/>
      <c r="P116" s="172"/>
      <c r="Q116" s="258"/>
      <c r="R116" s="258"/>
      <c r="S116" s="31"/>
      <c r="T116" s="31"/>
      <c r="U116" s="31"/>
      <c r="V116" s="2"/>
      <c r="W116" s="2"/>
      <c r="X116" s="2"/>
    </row>
    <row r="117" spans="1:24" s="52" customFormat="1" ht="18" customHeight="1" x14ac:dyDescent="0.3">
      <c r="A117" s="260">
        <v>86</v>
      </c>
      <c r="B117" s="262">
        <v>114</v>
      </c>
      <c r="C117" s="288">
        <v>43989</v>
      </c>
      <c r="D117" s="302"/>
      <c r="E117" s="303"/>
      <c r="F117" s="350"/>
      <c r="G117" s="349">
        <f t="shared" si="13"/>
        <v>1200</v>
      </c>
      <c r="H117" s="533"/>
      <c r="I117" s="346"/>
      <c r="J117" s="346"/>
      <c r="K117" s="527"/>
      <c r="L117" s="594"/>
      <c r="M117" s="172"/>
      <c r="N117" s="172"/>
      <c r="O117" s="172"/>
      <c r="P117" s="172"/>
      <c r="Q117" s="258"/>
      <c r="R117" s="258"/>
      <c r="S117" s="31"/>
      <c r="T117" s="31"/>
      <c r="U117" s="31"/>
      <c r="V117" s="2"/>
      <c r="W117" s="2"/>
      <c r="X117" s="2"/>
    </row>
    <row r="118" spans="1:24" s="52" customFormat="1" ht="18" customHeight="1" x14ac:dyDescent="0.3">
      <c r="A118" s="260">
        <v>87</v>
      </c>
      <c r="B118" s="262">
        <v>115</v>
      </c>
      <c r="C118" s="288">
        <v>43990</v>
      </c>
      <c r="D118" s="302"/>
      <c r="E118" s="303"/>
      <c r="F118" s="350"/>
      <c r="G118" s="349">
        <f t="shared" si="13"/>
        <v>1200</v>
      </c>
      <c r="H118" s="533"/>
      <c r="I118" s="346"/>
      <c r="J118" s="346"/>
      <c r="K118" s="527"/>
      <c r="L118" s="594"/>
      <c r="M118" s="172"/>
      <c r="N118" s="172"/>
      <c r="O118" s="172"/>
      <c r="P118" s="172"/>
      <c r="Q118" s="258"/>
      <c r="R118" s="258"/>
      <c r="S118" s="31"/>
      <c r="T118" s="31"/>
      <c r="U118" s="31"/>
      <c r="V118" s="2"/>
      <c r="W118" s="2"/>
      <c r="X118" s="2"/>
    </row>
    <row r="119" spans="1:24" s="52" customFormat="1" ht="18" customHeight="1" x14ac:dyDescent="0.3">
      <c r="A119" s="260">
        <v>88</v>
      </c>
      <c r="B119" s="262">
        <v>116</v>
      </c>
      <c r="C119" s="288">
        <v>43991</v>
      </c>
      <c r="D119" s="302"/>
      <c r="E119" s="303"/>
      <c r="F119" s="350"/>
      <c r="G119" s="349">
        <f t="shared" si="13"/>
        <v>1200</v>
      </c>
      <c r="H119" s="533"/>
      <c r="I119" s="346"/>
      <c r="J119" s="346"/>
      <c r="K119" s="527"/>
      <c r="L119" s="594"/>
      <c r="M119" s="172"/>
      <c r="N119" s="172"/>
      <c r="O119" s="172"/>
      <c r="P119" s="172"/>
      <c r="Q119" s="258"/>
      <c r="R119" s="258"/>
      <c r="S119" s="31"/>
      <c r="T119" s="31"/>
      <c r="U119" s="31"/>
      <c r="V119" s="2"/>
      <c r="W119" s="2"/>
      <c r="X119" s="2"/>
    </row>
    <row r="120" spans="1:24" s="52" customFormat="1" ht="18" customHeight="1" x14ac:dyDescent="0.3">
      <c r="A120" s="260">
        <v>89</v>
      </c>
      <c r="B120" s="215">
        <v>117</v>
      </c>
      <c r="C120" s="288">
        <v>43992</v>
      </c>
      <c r="D120" s="302"/>
      <c r="E120" s="303"/>
      <c r="F120" s="350"/>
      <c r="G120" s="349">
        <f t="shared" si="13"/>
        <v>1200</v>
      </c>
      <c r="H120" s="533"/>
      <c r="I120" s="346"/>
      <c r="J120" s="346"/>
      <c r="K120" s="527"/>
      <c r="L120" s="594"/>
      <c r="M120" s="172"/>
      <c r="N120" s="172"/>
      <c r="O120" s="172"/>
      <c r="P120" s="172"/>
      <c r="Q120" s="258"/>
      <c r="R120" s="258"/>
      <c r="S120" s="31"/>
      <c r="T120" s="31"/>
      <c r="U120" s="31"/>
      <c r="V120" s="2"/>
      <c r="W120" s="2"/>
      <c r="X120" s="2"/>
    </row>
    <row r="121" spans="1:24" s="52" customFormat="1" ht="18" customHeight="1" x14ac:dyDescent="0.3">
      <c r="A121" s="260">
        <v>90</v>
      </c>
      <c r="B121" s="262">
        <v>118</v>
      </c>
      <c r="C121" s="288">
        <v>43993</v>
      </c>
      <c r="D121" s="302"/>
      <c r="E121" s="303"/>
      <c r="F121" s="350"/>
      <c r="G121" s="349">
        <f t="shared" si="13"/>
        <v>1200</v>
      </c>
      <c r="H121" s="533"/>
      <c r="I121" s="346"/>
      <c r="J121" s="346"/>
      <c r="K121" s="527"/>
      <c r="L121" s="594"/>
      <c r="M121" s="172"/>
      <c r="N121" s="172"/>
      <c r="O121" s="172"/>
      <c r="P121" s="172"/>
      <c r="Q121" s="258"/>
      <c r="R121" s="258"/>
      <c r="S121" s="31"/>
      <c r="T121" s="31"/>
      <c r="U121" s="31"/>
      <c r="V121" s="2"/>
      <c r="W121" s="2"/>
      <c r="X121" s="2"/>
    </row>
    <row r="122" spans="1:24" s="52" customFormat="1" ht="18" customHeight="1" x14ac:dyDescent="0.3">
      <c r="A122" s="260">
        <v>91</v>
      </c>
      <c r="B122" s="262">
        <v>119</v>
      </c>
      <c r="C122" s="288">
        <v>43994</v>
      </c>
      <c r="D122" s="302"/>
      <c r="E122" s="303"/>
      <c r="F122" s="350"/>
      <c r="G122" s="349">
        <f t="shared" si="13"/>
        <v>1200</v>
      </c>
      <c r="H122" s="533"/>
      <c r="I122" s="346"/>
      <c r="J122" s="346"/>
      <c r="K122" s="527"/>
      <c r="L122" s="594"/>
      <c r="M122" s="172"/>
      <c r="N122" s="172"/>
      <c r="O122" s="172"/>
      <c r="P122" s="172"/>
      <c r="Q122" s="258"/>
      <c r="R122" s="258"/>
      <c r="S122" s="31"/>
      <c r="T122" s="31"/>
      <c r="U122" s="31"/>
      <c r="V122" s="2"/>
      <c r="W122" s="2"/>
      <c r="X122" s="2"/>
    </row>
    <row r="123" spans="1:24" s="52" customFormat="1" ht="18.600000000000001" customHeight="1" thickBot="1" x14ac:dyDescent="0.35">
      <c r="A123" s="260">
        <v>92</v>
      </c>
      <c r="B123" s="351">
        <v>120</v>
      </c>
      <c r="C123" s="291">
        <v>43995</v>
      </c>
      <c r="D123" s="292"/>
      <c r="E123" s="293"/>
      <c r="F123" s="352"/>
      <c r="G123" s="349">
        <f t="shared" si="13"/>
        <v>1200</v>
      </c>
      <c r="H123" s="589"/>
      <c r="I123" s="347"/>
      <c r="J123" s="347"/>
      <c r="K123" s="590"/>
      <c r="L123" s="595"/>
      <c r="M123" s="172"/>
      <c r="N123" s="172"/>
      <c r="O123" s="172"/>
      <c r="P123" s="172"/>
      <c r="Q123" s="258"/>
      <c r="R123" s="258"/>
      <c r="S123" s="31"/>
      <c r="T123" s="31"/>
      <c r="U123" s="31"/>
      <c r="V123" s="2"/>
      <c r="W123" s="2"/>
      <c r="X123" s="2"/>
    </row>
    <row r="124" spans="1:24" s="52" customFormat="1" x14ac:dyDescent="0.3">
      <c r="A124" s="260">
        <v>93</v>
      </c>
      <c r="B124" s="261">
        <v>121</v>
      </c>
      <c r="C124" s="284">
        <v>43996</v>
      </c>
      <c r="D124" s="341"/>
      <c r="E124" s="342"/>
      <c r="F124" s="348"/>
      <c r="G124" s="349">
        <f>H$124/10</f>
        <v>800</v>
      </c>
      <c r="H124" s="586">
        <v>8000</v>
      </c>
      <c r="I124" s="523"/>
      <c r="J124" s="523"/>
      <c r="K124" s="587">
        <f>H124/SUM(H24+H34+H44+H54+H64+H114+H104+H94+H84+H74-I114-I104-I94-I84-J114-J104-J94-J84-I74-J74-I64-J64-I54-J54-I44-J44-I34-J34-I24-J24)</f>
        <v>2.9436222743897504E-2</v>
      </c>
      <c r="L124" s="586">
        <f>H124*0.05</f>
        <v>400</v>
      </c>
      <c r="M124" s="172"/>
      <c r="N124" s="172"/>
      <c r="O124" s="172"/>
      <c r="P124" s="172"/>
      <c r="Q124" s="258"/>
      <c r="R124" s="258"/>
      <c r="S124" s="31"/>
      <c r="T124" s="31"/>
      <c r="U124" s="31"/>
      <c r="V124" s="2"/>
      <c r="W124" s="2"/>
      <c r="X124" s="2"/>
    </row>
    <row r="125" spans="1:24" x14ac:dyDescent="0.3">
      <c r="A125" s="260">
        <v>94</v>
      </c>
      <c r="B125" s="262">
        <v>122</v>
      </c>
      <c r="C125" s="288">
        <v>43997</v>
      </c>
      <c r="D125" s="302"/>
      <c r="E125" s="303"/>
      <c r="F125" s="350"/>
      <c r="G125" s="349">
        <f t="shared" ref="G125:G133" si="14">H$124/10</f>
        <v>800</v>
      </c>
      <c r="H125" s="586"/>
      <c r="I125" s="524"/>
      <c r="J125" s="524"/>
      <c r="K125" s="587"/>
      <c r="L125" s="586"/>
    </row>
    <row r="126" spans="1:24" x14ac:dyDescent="0.3">
      <c r="A126" s="260">
        <v>95</v>
      </c>
      <c r="B126" s="262">
        <v>123</v>
      </c>
      <c r="C126" s="288">
        <v>43998</v>
      </c>
      <c r="D126" s="302"/>
      <c r="E126" s="303"/>
      <c r="F126" s="350"/>
      <c r="G126" s="349">
        <f t="shared" si="14"/>
        <v>800</v>
      </c>
      <c r="H126" s="586"/>
      <c r="I126" s="524"/>
      <c r="J126" s="524"/>
      <c r="K126" s="587"/>
      <c r="L126" s="586"/>
    </row>
    <row r="127" spans="1:24" x14ac:dyDescent="0.3">
      <c r="A127" s="260">
        <v>96</v>
      </c>
      <c r="B127" s="262">
        <v>124</v>
      </c>
      <c r="C127" s="288">
        <v>43999</v>
      </c>
      <c r="D127" s="302"/>
      <c r="E127" s="303"/>
      <c r="F127" s="350"/>
      <c r="G127" s="349">
        <f t="shared" si="14"/>
        <v>800</v>
      </c>
      <c r="H127" s="586"/>
      <c r="I127" s="524"/>
      <c r="J127" s="524"/>
      <c r="K127" s="587"/>
      <c r="L127" s="586"/>
    </row>
    <row r="128" spans="1:24" x14ac:dyDescent="0.3">
      <c r="A128" s="260">
        <v>97</v>
      </c>
      <c r="B128" s="262">
        <v>125</v>
      </c>
      <c r="C128" s="288">
        <v>44000</v>
      </c>
      <c r="D128" s="302"/>
      <c r="E128" s="303"/>
      <c r="F128" s="350"/>
      <c r="G128" s="349">
        <f t="shared" si="14"/>
        <v>800</v>
      </c>
      <c r="H128" s="586"/>
      <c r="I128" s="524"/>
      <c r="J128" s="524"/>
      <c r="K128" s="587"/>
      <c r="L128" s="586"/>
    </row>
    <row r="129" spans="1:12" x14ac:dyDescent="0.3">
      <c r="A129" s="260">
        <v>98</v>
      </c>
      <c r="B129" s="262">
        <v>126</v>
      </c>
      <c r="C129" s="288">
        <v>44001</v>
      </c>
      <c r="D129" s="302"/>
      <c r="E129" s="303"/>
      <c r="F129" s="350"/>
      <c r="G129" s="349">
        <f t="shared" si="14"/>
        <v>800</v>
      </c>
      <c r="H129" s="586"/>
      <c r="I129" s="524"/>
      <c r="J129" s="524"/>
      <c r="K129" s="587"/>
      <c r="L129" s="586"/>
    </row>
    <row r="130" spans="1:12" x14ac:dyDescent="0.3">
      <c r="A130" s="260">
        <v>99</v>
      </c>
      <c r="B130" s="262">
        <v>127</v>
      </c>
      <c r="C130" s="288">
        <v>44002</v>
      </c>
      <c r="D130" s="302"/>
      <c r="E130" s="303"/>
      <c r="F130" s="350"/>
      <c r="G130" s="349">
        <f t="shared" si="14"/>
        <v>800</v>
      </c>
      <c r="H130" s="586"/>
      <c r="I130" s="524"/>
      <c r="J130" s="524"/>
      <c r="K130" s="587"/>
      <c r="L130" s="586"/>
    </row>
    <row r="131" spans="1:12" x14ac:dyDescent="0.3">
      <c r="A131" s="260">
        <v>100</v>
      </c>
      <c r="B131" s="262">
        <v>128</v>
      </c>
      <c r="C131" s="288">
        <v>44003</v>
      </c>
      <c r="D131" s="302"/>
      <c r="E131" s="303"/>
      <c r="F131" s="350"/>
      <c r="G131" s="349">
        <f t="shared" si="14"/>
        <v>800</v>
      </c>
      <c r="H131" s="586"/>
      <c r="I131" s="524"/>
      <c r="J131" s="524"/>
      <c r="K131" s="587"/>
      <c r="L131" s="586"/>
    </row>
    <row r="132" spans="1:12" x14ac:dyDescent="0.3">
      <c r="A132" s="260">
        <v>101</v>
      </c>
      <c r="B132" s="262">
        <v>129</v>
      </c>
      <c r="C132" s="288">
        <v>44004</v>
      </c>
      <c r="D132" s="302"/>
      <c r="E132" s="303"/>
      <c r="F132" s="350"/>
      <c r="G132" s="349">
        <f t="shared" si="14"/>
        <v>800</v>
      </c>
      <c r="H132" s="586"/>
      <c r="I132" s="524"/>
      <c r="J132" s="524"/>
      <c r="K132" s="587"/>
      <c r="L132" s="586"/>
    </row>
    <row r="133" spans="1:12" ht="19.5" thickBot="1" x14ac:dyDescent="0.35">
      <c r="A133" s="260">
        <v>102</v>
      </c>
      <c r="B133" s="263">
        <v>130</v>
      </c>
      <c r="C133" s="291">
        <v>44005</v>
      </c>
      <c r="D133" s="292"/>
      <c r="E133" s="293"/>
      <c r="F133" s="352"/>
      <c r="G133" s="349">
        <f t="shared" si="14"/>
        <v>800</v>
      </c>
      <c r="H133" s="586"/>
      <c r="I133" s="525"/>
      <c r="J133" s="525"/>
      <c r="K133" s="587"/>
      <c r="L133" s="586"/>
    </row>
    <row r="134" spans="1:12" x14ac:dyDescent="0.3">
      <c r="A134" s="260">
        <v>103</v>
      </c>
      <c r="B134" s="261">
        <v>131</v>
      </c>
      <c r="C134" s="284">
        <v>44006</v>
      </c>
      <c r="D134" s="341"/>
      <c r="E134" s="342"/>
      <c r="F134" s="348"/>
      <c r="G134" s="349">
        <f>H$134/10</f>
        <v>500</v>
      </c>
      <c r="H134" s="533">
        <v>5000</v>
      </c>
      <c r="I134" s="346"/>
      <c r="J134" s="346"/>
      <c r="K134" s="527">
        <f>H134/SUM(H24+H34+H44+H54+H64+H74+H124+H114+H104+H94+H84-I124-I114-I104-I94-J124-J114-J104-J94-I84-J84-I74-J74-I64-J64-I54-J54-I44-J44-I34-J34-I24-J24)</f>
        <v>1.7871567765410653E-2</v>
      </c>
      <c r="L134" s="594">
        <f>H134*0.05</f>
        <v>250</v>
      </c>
    </row>
    <row r="135" spans="1:12" x14ac:dyDescent="0.3">
      <c r="A135" s="260">
        <v>104</v>
      </c>
      <c r="B135" s="262">
        <v>132</v>
      </c>
      <c r="C135" s="288">
        <v>44007</v>
      </c>
      <c r="D135" s="302"/>
      <c r="E135" s="303"/>
      <c r="F135" s="350"/>
      <c r="G135" s="349">
        <f t="shared" ref="G135:G143" si="15">H$134/10</f>
        <v>500</v>
      </c>
      <c r="H135" s="533"/>
      <c r="I135" s="346"/>
      <c r="J135" s="346"/>
      <c r="K135" s="527"/>
      <c r="L135" s="594"/>
    </row>
    <row r="136" spans="1:12" x14ac:dyDescent="0.3">
      <c r="A136" s="260">
        <v>105</v>
      </c>
      <c r="B136" s="262">
        <v>133</v>
      </c>
      <c r="C136" s="288">
        <v>44008</v>
      </c>
      <c r="D136" s="302"/>
      <c r="E136" s="303"/>
      <c r="F136" s="350"/>
      <c r="G136" s="349">
        <f t="shared" si="15"/>
        <v>500</v>
      </c>
      <c r="H136" s="533"/>
      <c r="I136" s="346"/>
      <c r="J136" s="346"/>
      <c r="K136" s="527"/>
      <c r="L136" s="594"/>
    </row>
    <row r="137" spans="1:12" x14ac:dyDescent="0.3">
      <c r="A137" s="260">
        <v>106</v>
      </c>
      <c r="B137" s="262">
        <v>134</v>
      </c>
      <c r="C137" s="288">
        <v>44009</v>
      </c>
      <c r="D137" s="302"/>
      <c r="E137" s="303"/>
      <c r="F137" s="350"/>
      <c r="G137" s="349">
        <f t="shared" si="15"/>
        <v>500</v>
      </c>
      <c r="H137" s="533"/>
      <c r="I137" s="346"/>
      <c r="J137" s="346"/>
      <c r="K137" s="527"/>
      <c r="L137" s="594"/>
    </row>
    <row r="138" spans="1:12" x14ac:dyDescent="0.3">
      <c r="A138" s="260">
        <v>107</v>
      </c>
      <c r="B138" s="262">
        <v>135</v>
      </c>
      <c r="C138" s="288">
        <v>44010</v>
      </c>
      <c r="D138" s="302"/>
      <c r="E138" s="303"/>
      <c r="F138" s="350"/>
      <c r="G138" s="349">
        <f t="shared" si="15"/>
        <v>500</v>
      </c>
      <c r="H138" s="533"/>
      <c r="I138" s="346"/>
      <c r="J138" s="346"/>
      <c r="K138" s="527"/>
      <c r="L138" s="594"/>
    </row>
    <row r="139" spans="1:12" x14ac:dyDescent="0.3">
      <c r="A139" s="260">
        <v>108</v>
      </c>
      <c r="B139" s="262">
        <v>136</v>
      </c>
      <c r="C139" s="288">
        <v>44011</v>
      </c>
      <c r="D139" s="302"/>
      <c r="E139" s="303"/>
      <c r="F139" s="350"/>
      <c r="G139" s="349">
        <f t="shared" si="15"/>
        <v>500</v>
      </c>
      <c r="H139" s="533"/>
      <c r="I139" s="346"/>
      <c r="J139" s="346"/>
      <c r="K139" s="527"/>
      <c r="L139" s="594"/>
    </row>
    <row r="140" spans="1:12" x14ac:dyDescent="0.3">
      <c r="A140" s="260">
        <v>109</v>
      </c>
      <c r="B140" s="262">
        <v>137</v>
      </c>
      <c r="C140" s="288">
        <v>44012</v>
      </c>
      <c r="D140" s="302"/>
      <c r="E140" s="303"/>
      <c r="F140" s="350"/>
      <c r="G140" s="349">
        <f t="shared" si="15"/>
        <v>500</v>
      </c>
      <c r="H140" s="533"/>
      <c r="I140" s="346"/>
      <c r="J140" s="346"/>
      <c r="K140" s="527"/>
      <c r="L140" s="594"/>
    </row>
    <row r="141" spans="1:12" x14ac:dyDescent="0.3">
      <c r="A141" s="260">
        <v>110</v>
      </c>
      <c r="B141" s="262">
        <v>138</v>
      </c>
      <c r="C141" s="288">
        <v>44013</v>
      </c>
      <c r="D141" s="302"/>
      <c r="E141" s="303"/>
      <c r="F141" s="350"/>
      <c r="G141" s="349">
        <f t="shared" si="15"/>
        <v>500</v>
      </c>
      <c r="H141" s="533"/>
      <c r="I141" s="346"/>
      <c r="J141" s="346"/>
      <c r="K141" s="527"/>
      <c r="L141" s="594"/>
    </row>
    <row r="142" spans="1:12" x14ac:dyDescent="0.3">
      <c r="A142" s="260">
        <v>111</v>
      </c>
      <c r="B142" s="262">
        <v>139</v>
      </c>
      <c r="C142" s="288">
        <v>44014</v>
      </c>
      <c r="D142" s="302"/>
      <c r="E142" s="303"/>
      <c r="F142" s="350"/>
      <c r="G142" s="349">
        <f t="shared" si="15"/>
        <v>500</v>
      </c>
      <c r="H142" s="533"/>
      <c r="I142" s="346"/>
      <c r="J142" s="346"/>
      <c r="K142" s="527"/>
      <c r="L142" s="594"/>
    </row>
    <row r="143" spans="1:12" ht="19.5" thickBot="1" x14ac:dyDescent="0.35">
      <c r="A143" s="260">
        <v>112</v>
      </c>
      <c r="B143" s="300">
        <v>140</v>
      </c>
      <c r="C143" s="301">
        <v>44015</v>
      </c>
      <c r="D143" s="302"/>
      <c r="E143" s="303"/>
      <c r="F143" s="350"/>
      <c r="G143" s="349">
        <f t="shared" si="15"/>
        <v>500</v>
      </c>
      <c r="H143" s="589"/>
      <c r="I143" s="347"/>
      <c r="J143" s="347"/>
      <c r="K143" s="590"/>
      <c r="L143" s="595"/>
    </row>
    <row r="144" spans="1:12" x14ac:dyDescent="0.3">
      <c r="A144" s="260">
        <v>113</v>
      </c>
      <c r="B144" s="261">
        <v>141</v>
      </c>
      <c r="C144" s="284">
        <v>44016</v>
      </c>
      <c r="D144" s="341"/>
      <c r="E144" s="342"/>
      <c r="F144" s="348"/>
      <c r="G144" s="349">
        <f>H$144/10</f>
        <v>200</v>
      </c>
      <c r="H144" s="533">
        <v>2000</v>
      </c>
      <c r="I144" s="346"/>
      <c r="J144" s="346"/>
      <c r="K144" s="527">
        <f>H144/SUM(H34+H44+H54+H64+H74+H84+H134+H124+H114+H104+H94-I134-I124-I114-I104-J134-J124-J114-J104-I94-J94-I84-J84-I74-J74-I64-J64-I54-J54-I44-J44-I34-J34)</f>
        <v>7.197532685795309E-3</v>
      </c>
      <c r="L144" s="594">
        <f>H144*0.05</f>
        <v>100</v>
      </c>
    </row>
    <row r="145" spans="1:12" x14ac:dyDescent="0.3">
      <c r="A145" s="260">
        <v>114</v>
      </c>
      <c r="B145" s="262">
        <v>142</v>
      </c>
      <c r="C145" s="288">
        <v>44017</v>
      </c>
      <c r="D145" s="302"/>
      <c r="E145" s="303"/>
      <c r="F145" s="350"/>
      <c r="G145" s="349">
        <f t="shared" ref="G145:G153" si="16">H$144/10</f>
        <v>200</v>
      </c>
      <c r="H145" s="533"/>
      <c r="I145" s="346"/>
      <c r="J145" s="346"/>
      <c r="K145" s="527"/>
      <c r="L145" s="594"/>
    </row>
    <row r="146" spans="1:12" x14ac:dyDescent="0.3">
      <c r="A146" s="260">
        <v>115</v>
      </c>
      <c r="B146" s="262">
        <v>143</v>
      </c>
      <c r="C146" s="288">
        <v>44018</v>
      </c>
      <c r="D146" s="302"/>
      <c r="E146" s="303"/>
      <c r="F146" s="350"/>
      <c r="G146" s="349">
        <f t="shared" si="16"/>
        <v>200</v>
      </c>
      <c r="H146" s="533"/>
      <c r="I146" s="346"/>
      <c r="J146" s="346"/>
      <c r="K146" s="527"/>
      <c r="L146" s="594"/>
    </row>
    <row r="147" spans="1:12" x14ac:dyDescent="0.3">
      <c r="A147" s="260">
        <v>116</v>
      </c>
      <c r="B147" s="262">
        <v>144</v>
      </c>
      <c r="C147" s="288">
        <v>44019</v>
      </c>
      <c r="D147" s="302"/>
      <c r="E147" s="303"/>
      <c r="F147" s="350"/>
      <c r="G147" s="349">
        <f t="shared" si="16"/>
        <v>200</v>
      </c>
      <c r="H147" s="533"/>
      <c r="I147" s="346"/>
      <c r="J147" s="346"/>
      <c r="K147" s="527"/>
      <c r="L147" s="594"/>
    </row>
    <row r="148" spans="1:12" x14ac:dyDescent="0.3">
      <c r="A148" s="260">
        <v>117</v>
      </c>
      <c r="B148" s="262">
        <v>145</v>
      </c>
      <c r="C148" s="288">
        <v>44020</v>
      </c>
      <c r="D148" s="302"/>
      <c r="E148" s="303"/>
      <c r="F148" s="350"/>
      <c r="G148" s="349">
        <f t="shared" si="16"/>
        <v>200</v>
      </c>
      <c r="H148" s="533"/>
      <c r="I148" s="346"/>
      <c r="J148" s="346"/>
      <c r="K148" s="527"/>
      <c r="L148" s="594"/>
    </row>
    <row r="149" spans="1:12" x14ac:dyDescent="0.3">
      <c r="A149" s="260">
        <v>118</v>
      </c>
      <c r="B149" s="262">
        <v>146</v>
      </c>
      <c r="C149" s="288">
        <v>44021</v>
      </c>
      <c r="D149" s="302"/>
      <c r="E149" s="303"/>
      <c r="F149" s="350"/>
      <c r="G149" s="349">
        <f t="shared" si="16"/>
        <v>200</v>
      </c>
      <c r="H149" s="533"/>
      <c r="I149" s="346"/>
      <c r="J149" s="346"/>
      <c r="K149" s="527"/>
      <c r="L149" s="594"/>
    </row>
    <row r="150" spans="1:12" x14ac:dyDescent="0.3">
      <c r="A150" s="260">
        <v>119</v>
      </c>
      <c r="B150" s="262">
        <v>147</v>
      </c>
      <c r="C150" s="288">
        <v>44022</v>
      </c>
      <c r="D150" s="302"/>
      <c r="E150" s="303"/>
      <c r="F150" s="350"/>
      <c r="G150" s="349">
        <f t="shared" si="16"/>
        <v>200</v>
      </c>
      <c r="H150" s="533"/>
      <c r="I150" s="346"/>
      <c r="J150" s="346"/>
      <c r="K150" s="527"/>
      <c r="L150" s="594"/>
    </row>
    <row r="151" spans="1:12" x14ac:dyDescent="0.3">
      <c r="A151" s="260">
        <v>120</v>
      </c>
      <c r="B151" s="262">
        <v>148</v>
      </c>
      <c r="C151" s="288">
        <v>44023</v>
      </c>
      <c r="D151" s="302"/>
      <c r="E151" s="303"/>
      <c r="F151" s="350"/>
      <c r="G151" s="349">
        <f t="shared" si="16"/>
        <v>200</v>
      </c>
      <c r="H151" s="533"/>
      <c r="I151" s="346"/>
      <c r="J151" s="346"/>
      <c r="K151" s="527"/>
      <c r="L151" s="594"/>
    </row>
    <row r="152" spans="1:12" x14ac:dyDescent="0.3">
      <c r="A152" s="260">
        <v>121</v>
      </c>
      <c r="B152" s="262">
        <v>149</v>
      </c>
      <c r="C152" s="288">
        <v>44024</v>
      </c>
      <c r="D152" s="302"/>
      <c r="E152" s="303"/>
      <c r="F152" s="350"/>
      <c r="G152" s="349">
        <f t="shared" si="16"/>
        <v>200</v>
      </c>
      <c r="H152" s="533"/>
      <c r="I152" s="346"/>
      <c r="J152" s="346"/>
      <c r="K152" s="527"/>
      <c r="L152" s="594"/>
    </row>
    <row r="153" spans="1:12" ht="19.5" thickBot="1" x14ac:dyDescent="0.35">
      <c r="A153" s="260">
        <v>122</v>
      </c>
      <c r="B153" s="263">
        <v>150</v>
      </c>
      <c r="C153" s="291">
        <v>44025</v>
      </c>
      <c r="D153" s="292"/>
      <c r="E153" s="293"/>
      <c r="F153" s="352"/>
      <c r="G153" s="349">
        <f t="shared" si="16"/>
        <v>200</v>
      </c>
      <c r="H153" s="589"/>
      <c r="I153" s="347"/>
      <c r="J153" s="347"/>
      <c r="K153" s="590"/>
      <c r="L153" s="595"/>
    </row>
    <row r="154" spans="1:12" x14ac:dyDescent="0.3">
      <c r="A154" s="33"/>
      <c r="B154" s="33"/>
      <c r="C154" s="323"/>
      <c r="D154" s="324"/>
      <c r="E154" s="592" t="s">
        <v>24</v>
      </c>
      <c r="F154" s="592"/>
      <c r="G154" s="310">
        <f>SUM(G4:G153)</f>
        <v>333168</v>
      </c>
      <c r="H154" s="310">
        <f>SUM(H4:H153)</f>
        <v>333168</v>
      </c>
      <c r="I154" s="310"/>
      <c r="J154" s="310"/>
      <c r="K154" s="325"/>
      <c r="L154" s="326">
        <f>'App.2(ICU-vent. cap)'!F7</f>
        <v>906.94309359999988</v>
      </c>
    </row>
  </sheetData>
  <mergeCells count="78">
    <mergeCell ref="E154:F154"/>
    <mergeCell ref="F74:F83"/>
    <mergeCell ref="H134:H143"/>
    <mergeCell ref="K134:K143"/>
    <mergeCell ref="L134:L143"/>
    <mergeCell ref="H144:H153"/>
    <mergeCell ref="K144:K153"/>
    <mergeCell ref="L144:L153"/>
    <mergeCell ref="H114:H123"/>
    <mergeCell ref="K114:K123"/>
    <mergeCell ref="L114:L123"/>
    <mergeCell ref="H124:H133"/>
    <mergeCell ref="I124:I133"/>
    <mergeCell ref="J124:J133"/>
    <mergeCell ref="K124:K133"/>
    <mergeCell ref="L124:L133"/>
    <mergeCell ref="H94:H103"/>
    <mergeCell ref="K94:K103"/>
    <mergeCell ref="L94:L103"/>
    <mergeCell ref="H104:H113"/>
    <mergeCell ref="I104:I113"/>
    <mergeCell ref="J104:J113"/>
    <mergeCell ref="K104:K113"/>
    <mergeCell ref="L104:L113"/>
    <mergeCell ref="H74:H83"/>
    <mergeCell ref="I74:I83"/>
    <mergeCell ref="J74:J83"/>
    <mergeCell ref="K74:K83"/>
    <mergeCell ref="L74:L83"/>
    <mergeCell ref="H84:H93"/>
    <mergeCell ref="I84:I93"/>
    <mergeCell ref="J84:J93"/>
    <mergeCell ref="K84:K93"/>
    <mergeCell ref="L84:L93"/>
    <mergeCell ref="L64:L73"/>
    <mergeCell ref="F54:F63"/>
    <mergeCell ref="H54:H63"/>
    <mergeCell ref="I54:I63"/>
    <mergeCell ref="J54:J63"/>
    <mergeCell ref="K54:K63"/>
    <mergeCell ref="L54:L63"/>
    <mergeCell ref="F64:F73"/>
    <mergeCell ref="H64:H73"/>
    <mergeCell ref="I64:I73"/>
    <mergeCell ref="J64:J73"/>
    <mergeCell ref="K64:K73"/>
    <mergeCell ref="L44:L53"/>
    <mergeCell ref="F34:F43"/>
    <mergeCell ref="H34:H43"/>
    <mergeCell ref="I34:I43"/>
    <mergeCell ref="J34:J43"/>
    <mergeCell ref="K34:K43"/>
    <mergeCell ref="L34:L43"/>
    <mergeCell ref="F44:F53"/>
    <mergeCell ref="H44:H53"/>
    <mergeCell ref="I44:I53"/>
    <mergeCell ref="J44:J53"/>
    <mergeCell ref="K44:K53"/>
    <mergeCell ref="L24:L33"/>
    <mergeCell ref="F14:F23"/>
    <mergeCell ref="H14:H23"/>
    <mergeCell ref="I14:I23"/>
    <mergeCell ref="J14:J23"/>
    <mergeCell ref="K14:K23"/>
    <mergeCell ref="L14:L23"/>
    <mergeCell ref="F24:F33"/>
    <mergeCell ref="H24:H33"/>
    <mergeCell ref="I24:I33"/>
    <mergeCell ref="J24:J33"/>
    <mergeCell ref="K24:K33"/>
    <mergeCell ref="A1:L1"/>
    <mergeCell ref="A2:L2"/>
    <mergeCell ref="F4:F13"/>
    <mergeCell ref="H4:H13"/>
    <mergeCell ref="I4:I13"/>
    <mergeCell ref="J4:J13"/>
    <mergeCell ref="K4:K13"/>
    <mergeCell ref="L4:L13"/>
  </mergeCells>
  <printOptions gridLines="1"/>
  <pageMargins left="0" right="0" top="0" bottom="0" header="0" footer="0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4"/>
  <sheetViews>
    <sheetView zoomScale="80" zoomScaleNormal="80" workbookViewId="0">
      <selection activeCell="G136" sqref="G136"/>
    </sheetView>
  </sheetViews>
  <sheetFormatPr defaultColWidth="8.85546875" defaultRowHeight="18.75" x14ac:dyDescent="0.3"/>
  <cols>
    <col min="1" max="1" width="12.42578125" style="185" customWidth="1"/>
    <col min="2" max="2" width="4.28515625" style="185" bestFit="1" customWidth="1"/>
    <col min="3" max="3" width="9.140625" style="184" bestFit="1" customWidth="1"/>
    <col min="4" max="4" width="10" style="182" customWidth="1"/>
    <col min="5" max="5" width="9.85546875" style="182" customWidth="1"/>
    <col min="6" max="6" width="11.7109375" style="182" customWidth="1"/>
    <col min="7" max="7" width="18" style="182" bestFit="1" customWidth="1"/>
    <col min="8" max="8" width="14" style="182" customWidth="1"/>
    <col min="9" max="9" width="10.28515625" style="182" bestFit="1" customWidth="1"/>
    <col min="10" max="10" width="9.5703125" style="182" customWidth="1"/>
    <col min="11" max="11" width="21.28515625" style="183" customWidth="1"/>
    <col min="12" max="12" width="12.28515625" style="182" bestFit="1" customWidth="1"/>
    <col min="13" max="13" width="8.85546875" style="52"/>
    <col min="14" max="14" width="13.42578125" style="52" customWidth="1"/>
    <col min="15" max="15" width="27.7109375" style="52" customWidth="1"/>
    <col min="16" max="16" width="21.5703125" style="52" customWidth="1"/>
    <col min="17" max="17" width="9.140625" style="31" customWidth="1"/>
    <col min="18" max="18" width="5.7109375" style="31" customWidth="1"/>
    <col min="19" max="19" width="8.85546875" style="31"/>
    <col min="20" max="20" width="9.140625" style="31" customWidth="1"/>
    <col min="21" max="21" width="8.85546875" style="31"/>
    <col min="22" max="24" width="8.85546875" style="2"/>
    <col min="25" max="16384" width="8.85546875" style="3"/>
  </cols>
  <sheetData>
    <row r="1" spans="1:18" ht="19.5" thickBot="1" x14ac:dyDescent="0.3">
      <c r="A1" s="547" t="s">
        <v>149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9"/>
      <c r="M1" s="172"/>
      <c r="N1" s="172"/>
      <c r="O1" s="172"/>
      <c r="P1" s="172"/>
      <c r="Q1" s="258"/>
      <c r="R1" s="258"/>
    </row>
    <row r="2" spans="1:18" ht="19.5" thickBot="1" x14ac:dyDescent="0.3">
      <c r="A2" s="550" t="s">
        <v>133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2"/>
      <c r="M2" s="172"/>
      <c r="N2" s="172"/>
      <c r="O2" s="172"/>
      <c r="P2" s="172"/>
      <c r="Q2" s="258"/>
      <c r="R2" s="258"/>
    </row>
    <row r="3" spans="1:18" ht="69.75" customHeight="1" thickBot="1" x14ac:dyDescent="0.3">
      <c r="A3" s="315" t="s">
        <v>139</v>
      </c>
      <c r="B3" s="316" t="s">
        <v>20</v>
      </c>
      <c r="C3" s="317" t="s">
        <v>18</v>
      </c>
      <c r="D3" s="318" t="s">
        <v>40</v>
      </c>
      <c r="E3" s="318" t="s">
        <v>39</v>
      </c>
      <c r="F3" s="318" t="s">
        <v>37</v>
      </c>
      <c r="G3" s="318" t="s">
        <v>38</v>
      </c>
      <c r="H3" s="318" t="s">
        <v>41</v>
      </c>
      <c r="I3" s="319" t="s">
        <v>71</v>
      </c>
      <c r="J3" s="319" t="s">
        <v>43</v>
      </c>
      <c r="K3" s="320" t="s">
        <v>129</v>
      </c>
      <c r="L3" s="318" t="s">
        <v>42</v>
      </c>
      <c r="M3" s="172"/>
      <c r="N3" s="172"/>
      <c r="O3" s="172"/>
      <c r="P3" s="172"/>
      <c r="Q3" s="258"/>
      <c r="R3" s="258"/>
    </row>
    <row r="4" spans="1:18" x14ac:dyDescent="0.25">
      <c r="A4" s="260"/>
      <c r="B4" s="261">
        <v>1</v>
      </c>
      <c r="C4" s="192">
        <v>43876</v>
      </c>
      <c r="D4" s="193">
        <v>12</v>
      </c>
      <c r="E4" s="194">
        <v>16</v>
      </c>
      <c r="F4" s="503">
        <f>SUM(E4:E13)</f>
        <v>16</v>
      </c>
      <c r="G4" s="195">
        <f>F$4/10</f>
        <v>1.6</v>
      </c>
      <c r="H4" s="538">
        <f>SUM(G4:G13)</f>
        <v>15.999999999999998</v>
      </c>
      <c r="I4" s="538">
        <v>7</v>
      </c>
      <c r="J4" s="538">
        <v>0</v>
      </c>
      <c r="K4" s="544" t="s">
        <v>26</v>
      </c>
      <c r="L4" s="538">
        <f>H4*0.05</f>
        <v>0.79999999999999993</v>
      </c>
      <c r="M4" s="172"/>
      <c r="N4" s="172"/>
      <c r="O4" s="172"/>
      <c r="P4" s="172"/>
      <c r="Q4" s="258"/>
      <c r="R4" s="258"/>
    </row>
    <row r="5" spans="1:18" x14ac:dyDescent="0.25">
      <c r="A5" s="260"/>
      <c r="B5" s="262">
        <v>2</v>
      </c>
      <c r="C5" s="196">
        <v>43877</v>
      </c>
      <c r="D5" s="197">
        <v>12</v>
      </c>
      <c r="E5" s="198">
        <f>D5-D4</f>
        <v>0</v>
      </c>
      <c r="F5" s="504"/>
      <c r="G5" s="195">
        <f t="shared" ref="G5:G13" si="0">F$4/10</f>
        <v>1.6</v>
      </c>
      <c r="H5" s="539"/>
      <c r="I5" s="539"/>
      <c r="J5" s="539"/>
      <c r="K5" s="545"/>
      <c r="L5" s="539"/>
      <c r="M5" s="172"/>
      <c r="N5" s="172"/>
      <c r="O5" s="172"/>
      <c r="P5" s="172"/>
      <c r="Q5" s="258"/>
      <c r="R5" s="258"/>
    </row>
    <row r="6" spans="1:18" x14ac:dyDescent="0.25">
      <c r="A6" s="260"/>
      <c r="B6" s="262">
        <v>3</v>
      </c>
      <c r="C6" s="196">
        <v>43878</v>
      </c>
      <c r="D6" s="197">
        <v>12</v>
      </c>
      <c r="E6" s="198">
        <f t="shared" ref="E6:E43" si="1">D6-D5</f>
        <v>0</v>
      </c>
      <c r="F6" s="504"/>
      <c r="G6" s="195">
        <f t="shared" si="0"/>
        <v>1.6</v>
      </c>
      <c r="H6" s="539"/>
      <c r="I6" s="539"/>
      <c r="J6" s="539"/>
      <c r="K6" s="545"/>
      <c r="L6" s="539"/>
      <c r="M6" s="172"/>
      <c r="N6" s="172"/>
      <c r="O6" s="172"/>
      <c r="P6" s="172"/>
      <c r="Q6" s="258"/>
      <c r="R6" s="258"/>
    </row>
    <row r="7" spans="1:18" x14ac:dyDescent="0.25">
      <c r="A7" s="260"/>
      <c r="B7" s="262">
        <v>4</v>
      </c>
      <c r="C7" s="196">
        <v>43879</v>
      </c>
      <c r="D7" s="197">
        <v>12</v>
      </c>
      <c r="E7" s="198">
        <f t="shared" si="1"/>
        <v>0</v>
      </c>
      <c r="F7" s="504"/>
      <c r="G7" s="195">
        <f t="shared" si="0"/>
        <v>1.6</v>
      </c>
      <c r="H7" s="539"/>
      <c r="I7" s="539"/>
      <c r="J7" s="539"/>
      <c r="K7" s="545"/>
      <c r="L7" s="539"/>
      <c r="M7" s="172"/>
      <c r="N7" s="172"/>
      <c r="O7" s="172"/>
      <c r="P7" s="172"/>
      <c r="Q7" s="258"/>
      <c r="R7" s="258"/>
    </row>
    <row r="8" spans="1:18" x14ac:dyDescent="0.25">
      <c r="A8" s="260"/>
      <c r="B8" s="262">
        <v>5</v>
      </c>
      <c r="C8" s="196">
        <v>43880</v>
      </c>
      <c r="D8" s="199">
        <v>12</v>
      </c>
      <c r="E8" s="198">
        <f t="shared" si="1"/>
        <v>0</v>
      </c>
      <c r="F8" s="504"/>
      <c r="G8" s="195">
        <f t="shared" si="0"/>
        <v>1.6</v>
      </c>
      <c r="H8" s="539"/>
      <c r="I8" s="539"/>
      <c r="J8" s="539"/>
      <c r="K8" s="545"/>
      <c r="L8" s="539"/>
      <c r="M8" s="172"/>
      <c r="N8" s="172"/>
      <c r="O8" s="172"/>
      <c r="P8" s="172"/>
      <c r="Q8" s="258"/>
      <c r="R8" s="258"/>
    </row>
    <row r="9" spans="1:18" x14ac:dyDescent="0.25">
      <c r="A9" s="260"/>
      <c r="B9" s="262">
        <v>6</v>
      </c>
      <c r="C9" s="196">
        <v>43881</v>
      </c>
      <c r="D9" s="197">
        <v>12</v>
      </c>
      <c r="E9" s="198">
        <f t="shared" si="1"/>
        <v>0</v>
      </c>
      <c r="F9" s="504"/>
      <c r="G9" s="195">
        <f t="shared" si="0"/>
        <v>1.6</v>
      </c>
      <c r="H9" s="539"/>
      <c r="I9" s="539"/>
      <c r="J9" s="539"/>
      <c r="K9" s="545"/>
      <c r="L9" s="539"/>
      <c r="M9" s="172"/>
      <c r="N9" s="172"/>
      <c r="O9" s="172"/>
      <c r="P9" s="172"/>
      <c r="Q9" s="258"/>
      <c r="R9" s="258"/>
    </row>
    <row r="10" spans="1:18" x14ac:dyDescent="0.25">
      <c r="A10" s="260"/>
      <c r="B10" s="262">
        <v>7</v>
      </c>
      <c r="C10" s="196">
        <v>43882</v>
      </c>
      <c r="D10" s="197">
        <v>12</v>
      </c>
      <c r="E10" s="198">
        <f t="shared" si="1"/>
        <v>0</v>
      </c>
      <c r="F10" s="504"/>
      <c r="G10" s="195">
        <f t="shared" si="0"/>
        <v>1.6</v>
      </c>
      <c r="H10" s="539"/>
      <c r="I10" s="539"/>
      <c r="J10" s="539"/>
      <c r="K10" s="545"/>
      <c r="L10" s="539"/>
      <c r="M10" s="172"/>
      <c r="N10" s="172"/>
      <c r="O10" s="172"/>
      <c r="P10" s="172"/>
      <c r="Q10" s="258"/>
      <c r="R10" s="258"/>
    </row>
    <row r="11" spans="1:18" x14ac:dyDescent="0.25">
      <c r="A11" s="260"/>
      <c r="B11" s="262">
        <v>8</v>
      </c>
      <c r="C11" s="196">
        <v>43883</v>
      </c>
      <c r="D11" s="197">
        <v>12</v>
      </c>
      <c r="E11" s="198">
        <f t="shared" si="1"/>
        <v>0</v>
      </c>
      <c r="F11" s="504"/>
      <c r="G11" s="195">
        <f t="shared" si="0"/>
        <v>1.6</v>
      </c>
      <c r="H11" s="539"/>
      <c r="I11" s="539"/>
      <c r="J11" s="539"/>
      <c r="K11" s="545"/>
      <c r="L11" s="539"/>
      <c r="M11" s="172"/>
      <c r="N11" s="172"/>
      <c r="O11" s="172"/>
      <c r="P11" s="172"/>
      <c r="Q11" s="258"/>
      <c r="R11" s="258"/>
    </row>
    <row r="12" spans="1:18" x14ac:dyDescent="0.25">
      <c r="A12" s="260"/>
      <c r="B12" s="262">
        <v>9</v>
      </c>
      <c r="C12" s="196">
        <v>43884</v>
      </c>
      <c r="D12" s="197">
        <v>12</v>
      </c>
      <c r="E12" s="198">
        <f t="shared" si="1"/>
        <v>0</v>
      </c>
      <c r="F12" s="504"/>
      <c r="G12" s="195">
        <f t="shared" si="0"/>
        <v>1.6</v>
      </c>
      <c r="H12" s="539"/>
      <c r="I12" s="539"/>
      <c r="J12" s="539"/>
      <c r="K12" s="545"/>
      <c r="L12" s="539"/>
      <c r="M12" s="172"/>
      <c r="N12" s="172"/>
      <c r="O12" s="172"/>
      <c r="P12" s="172"/>
      <c r="Q12" s="258"/>
      <c r="R12" s="258"/>
    </row>
    <row r="13" spans="1:18" ht="19.5" thickBot="1" x14ac:dyDescent="0.3">
      <c r="A13" s="260"/>
      <c r="B13" s="263">
        <v>10</v>
      </c>
      <c r="C13" s="200">
        <v>43885</v>
      </c>
      <c r="D13" s="201">
        <v>12</v>
      </c>
      <c r="E13" s="202">
        <f t="shared" si="1"/>
        <v>0</v>
      </c>
      <c r="F13" s="505"/>
      <c r="G13" s="195">
        <f t="shared" si="0"/>
        <v>1.6</v>
      </c>
      <c r="H13" s="540"/>
      <c r="I13" s="540"/>
      <c r="J13" s="540"/>
      <c r="K13" s="546"/>
      <c r="L13" s="540"/>
      <c r="M13" s="172"/>
      <c r="N13" s="172"/>
      <c r="O13" s="172"/>
      <c r="P13" s="172"/>
      <c r="Q13" s="258"/>
      <c r="R13" s="258"/>
    </row>
    <row r="14" spans="1:18" x14ac:dyDescent="0.25">
      <c r="A14" s="260"/>
      <c r="B14" s="261">
        <v>11</v>
      </c>
      <c r="C14" s="192">
        <v>43886</v>
      </c>
      <c r="D14" s="193">
        <v>12</v>
      </c>
      <c r="E14" s="194">
        <f t="shared" si="1"/>
        <v>0</v>
      </c>
      <c r="F14" s="503">
        <f>SUM(E14:E23)</f>
        <v>411</v>
      </c>
      <c r="G14" s="195">
        <f>F$14/10</f>
        <v>41.1</v>
      </c>
      <c r="H14" s="538">
        <f>SUM(G14:G23)</f>
        <v>411.00000000000006</v>
      </c>
      <c r="I14" s="538">
        <v>1</v>
      </c>
      <c r="J14" s="538">
        <v>7</v>
      </c>
      <c r="K14" s="596">
        <f>H14/(H4-I4-J4)</f>
        <v>45.666666666666679</v>
      </c>
      <c r="L14" s="538">
        <f>H14*0.05</f>
        <v>20.550000000000004</v>
      </c>
      <c r="M14" s="172"/>
      <c r="N14" s="172"/>
      <c r="O14" s="172"/>
      <c r="P14" s="172"/>
      <c r="Q14" s="258"/>
      <c r="R14" s="258"/>
    </row>
    <row r="15" spans="1:18" x14ac:dyDescent="0.25">
      <c r="A15" s="260"/>
      <c r="B15" s="262">
        <v>12</v>
      </c>
      <c r="C15" s="196">
        <v>43887</v>
      </c>
      <c r="D15" s="197">
        <v>18</v>
      </c>
      <c r="E15" s="198">
        <f t="shared" si="1"/>
        <v>6</v>
      </c>
      <c r="F15" s="504"/>
      <c r="G15" s="195">
        <f t="shared" ref="G15:G23" si="2">F$14/10</f>
        <v>41.1</v>
      </c>
      <c r="H15" s="539"/>
      <c r="I15" s="539"/>
      <c r="J15" s="539"/>
      <c r="K15" s="597"/>
      <c r="L15" s="539"/>
      <c r="M15" s="172"/>
      <c r="N15" s="172"/>
      <c r="O15" s="172"/>
      <c r="P15" s="172"/>
      <c r="Q15" s="258"/>
      <c r="R15" s="258"/>
    </row>
    <row r="16" spans="1:18" x14ac:dyDescent="0.25">
      <c r="A16" s="260"/>
      <c r="B16" s="262">
        <v>13</v>
      </c>
      <c r="C16" s="196">
        <v>43888</v>
      </c>
      <c r="D16" s="197">
        <v>38</v>
      </c>
      <c r="E16" s="198">
        <f t="shared" si="1"/>
        <v>20</v>
      </c>
      <c r="F16" s="504"/>
      <c r="G16" s="195">
        <f t="shared" si="2"/>
        <v>41.1</v>
      </c>
      <c r="H16" s="539"/>
      <c r="I16" s="539"/>
      <c r="J16" s="539"/>
      <c r="K16" s="597"/>
      <c r="L16" s="539"/>
      <c r="M16" s="172"/>
      <c r="N16" s="172"/>
      <c r="O16" s="172"/>
      <c r="P16" s="172"/>
      <c r="Q16" s="258"/>
      <c r="R16" s="258"/>
    </row>
    <row r="17" spans="1:24" s="52" customFormat="1" x14ac:dyDescent="0.3">
      <c r="A17" s="260"/>
      <c r="B17" s="262">
        <v>14</v>
      </c>
      <c r="C17" s="196">
        <v>43889</v>
      </c>
      <c r="D17" s="197">
        <v>57</v>
      </c>
      <c r="E17" s="198">
        <f t="shared" si="1"/>
        <v>19</v>
      </c>
      <c r="F17" s="504"/>
      <c r="G17" s="195">
        <f t="shared" si="2"/>
        <v>41.1</v>
      </c>
      <c r="H17" s="539"/>
      <c r="I17" s="539"/>
      <c r="J17" s="539"/>
      <c r="K17" s="597"/>
      <c r="L17" s="539"/>
      <c r="M17" s="172"/>
      <c r="N17" s="172"/>
      <c r="O17" s="172"/>
      <c r="P17" s="172"/>
      <c r="Q17" s="258"/>
      <c r="R17" s="258"/>
      <c r="S17" s="31"/>
      <c r="T17" s="31"/>
      <c r="U17" s="31"/>
      <c r="V17" s="2"/>
      <c r="W17" s="2"/>
      <c r="X17" s="2"/>
    </row>
    <row r="18" spans="1:24" s="52" customFormat="1" x14ac:dyDescent="0.3">
      <c r="A18" s="260"/>
      <c r="B18" s="262">
        <v>15</v>
      </c>
      <c r="C18" s="196">
        <v>43890</v>
      </c>
      <c r="D18" s="197">
        <v>100</v>
      </c>
      <c r="E18" s="198">
        <f t="shared" si="1"/>
        <v>43</v>
      </c>
      <c r="F18" s="504"/>
      <c r="G18" s="195">
        <f t="shared" si="2"/>
        <v>41.1</v>
      </c>
      <c r="H18" s="539"/>
      <c r="I18" s="539"/>
      <c r="J18" s="539"/>
      <c r="K18" s="597"/>
      <c r="L18" s="539"/>
      <c r="M18" s="172"/>
      <c r="N18" s="172"/>
      <c r="O18" s="172"/>
      <c r="P18" s="172"/>
      <c r="Q18" s="258"/>
      <c r="R18" s="258"/>
      <c r="S18" s="31"/>
      <c r="T18" s="31"/>
      <c r="U18" s="31"/>
      <c r="V18" s="2"/>
      <c r="W18" s="2"/>
      <c r="X18" s="2"/>
    </row>
    <row r="19" spans="1:24" s="52" customFormat="1" x14ac:dyDescent="0.3">
      <c r="A19" s="260"/>
      <c r="B19" s="262">
        <v>16</v>
      </c>
      <c r="C19" s="196">
        <v>43891</v>
      </c>
      <c r="D19" s="197">
        <v>130</v>
      </c>
      <c r="E19" s="198">
        <f t="shared" si="1"/>
        <v>30</v>
      </c>
      <c r="F19" s="504"/>
      <c r="G19" s="195">
        <f t="shared" si="2"/>
        <v>41.1</v>
      </c>
      <c r="H19" s="539"/>
      <c r="I19" s="539"/>
      <c r="J19" s="539"/>
      <c r="K19" s="597"/>
      <c r="L19" s="539"/>
      <c r="M19" s="172"/>
      <c r="N19" s="172"/>
      <c r="O19" s="172"/>
      <c r="P19" s="172"/>
      <c r="Q19" s="258"/>
      <c r="R19" s="258"/>
      <c r="S19" s="31"/>
      <c r="T19" s="31"/>
      <c r="U19" s="31"/>
      <c r="V19" s="2"/>
      <c r="W19" s="2"/>
      <c r="X19" s="2"/>
    </row>
    <row r="20" spans="1:24" s="52" customFormat="1" x14ac:dyDescent="0.3">
      <c r="A20" s="260"/>
      <c r="B20" s="262">
        <v>17</v>
      </c>
      <c r="C20" s="196">
        <v>43892</v>
      </c>
      <c r="D20" s="197">
        <v>191</v>
      </c>
      <c r="E20" s="198">
        <f t="shared" si="1"/>
        <v>61</v>
      </c>
      <c r="F20" s="504"/>
      <c r="G20" s="195">
        <f t="shared" si="2"/>
        <v>41.1</v>
      </c>
      <c r="H20" s="539"/>
      <c r="I20" s="539"/>
      <c r="J20" s="539"/>
      <c r="K20" s="597"/>
      <c r="L20" s="539"/>
      <c r="M20" s="172"/>
      <c r="N20" s="172"/>
      <c r="O20" s="172"/>
      <c r="P20" s="172"/>
      <c r="Q20" s="258"/>
      <c r="R20" s="258"/>
      <c r="S20" s="31"/>
      <c r="T20" s="31"/>
      <c r="U20" s="31"/>
      <c r="V20" s="2"/>
      <c r="W20" s="2"/>
      <c r="X20" s="2"/>
    </row>
    <row r="21" spans="1:24" s="52" customFormat="1" x14ac:dyDescent="0.3">
      <c r="A21" s="260"/>
      <c r="B21" s="262">
        <v>18</v>
      </c>
      <c r="C21" s="196">
        <v>43893</v>
      </c>
      <c r="D21" s="197">
        <v>212</v>
      </c>
      <c r="E21" s="198">
        <f t="shared" si="1"/>
        <v>21</v>
      </c>
      <c r="F21" s="504"/>
      <c r="G21" s="195">
        <f t="shared" si="2"/>
        <v>41.1</v>
      </c>
      <c r="H21" s="539"/>
      <c r="I21" s="539"/>
      <c r="J21" s="539"/>
      <c r="K21" s="597"/>
      <c r="L21" s="539"/>
      <c r="M21" s="172"/>
      <c r="N21" s="172"/>
      <c r="O21" s="172"/>
      <c r="P21" s="172"/>
      <c r="Q21" s="258"/>
      <c r="R21" s="258"/>
      <c r="S21" s="31"/>
      <c r="T21" s="31"/>
      <c r="U21" s="31"/>
      <c r="V21" s="2"/>
      <c r="W21" s="2"/>
      <c r="X21" s="2"/>
    </row>
    <row r="22" spans="1:24" s="52" customFormat="1" x14ac:dyDescent="0.3">
      <c r="A22" s="260"/>
      <c r="B22" s="262">
        <v>19</v>
      </c>
      <c r="C22" s="196">
        <v>43894</v>
      </c>
      <c r="D22" s="197">
        <v>285</v>
      </c>
      <c r="E22" s="198">
        <f t="shared" si="1"/>
        <v>73</v>
      </c>
      <c r="F22" s="504"/>
      <c r="G22" s="195">
        <f t="shared" si="2"/>
        <v>41.1</v>
      </c>
      <c r="H22" s="539"/>
      <c r="I22" s="539"/>
      <c r="J22" s="539"/>
      <c r="K22" s="597"/>
      <c r="L22" s="539"/>
      <c r="M22" s="172"/>
      <c r="N22" s="172"/>
      <c r="O22" s="172"/>
      <c r="P22" s="172"/>
      <c r="Q22" s="258"/>
      <c r="R22" s="258"/>
      <c r="S22" s="31"/>
      <c r="T22" s="31"/>
      <c r="U22" s="31"/>
      <c r="V22" s="2"/>
      <c r="W22" s="2"/>
      <c r="X22" s="2"/>
    </row>
    <row r="23" spans="1:24" s="52" customFormat="1" ht="19.5" thickBot="1" x14ac:dyDescent="0.35">
      <c r="A23" s="260"/>
      <c r="B23" s="263">
        <v>20</v>
      </c>
      <c r="C23" s="200">
        <v>43895</v>
      </c>
      <c r="D23" s="201">
        <v>423</v>
      </c>
      <c r="E23" s="202">
        <f t="shared" si="1"/>
        <v>138</v>
      </c>
      <c r="F23" s="505"/>
      <c r="G23" s="195">
        <f t="shared" si="2"/>
        <v>41.1</v>
      </c>
      <c r="H23" s="540"/>
      <c r="I23" s="540"/>
      <c r="J23" s="540"/>
      <c r="K23" s="598"/>
      <c r="L23" s="540"/>
      <c r="M23" s="172"/>
      <c r="N23" s="172"/>
      <c r="O23" s="172"/>
      <c r="P23" s="172"/>
      <c r="Q23" s="258"/>
      <c r="R23" s="258"/>
      <c r="S23" s="31"/>
      <c r="T23" s="31"/>
      <c r="U23" s="31"/>
      <c r="V23" s="2"/>
      <c r="W23" s="2"/>
      <c r="X23" s="2"/>
    </row>
    <row r="24" spans="1:24" s="52" customFormat="1" x14ac:dyDescent="0.3">
      <c r="A24" s="260"/>
      <c r="B24" s="261">
        <v>21</v>
      </c>
      <c r="C24" s="192">
        <v>43896</v>
      </c>
      <c r="D24" s="193">
        <v>653</v>
      </c>
      <c r="E24" s="194">
        <f t="shared" si="1"/>
        <v>230</v>
      </c>
      <c r="F24" s="503">
        <f>SUM(E24:E33)</f>
        <v>5000</v>
      </c>
      <c r="G24" s="195">
        <f>F$24/16</f>
        <v>312.5</v>
      </c>
      <c r="H24" s="538">
        <f>SUM(G24:G33)</f>
        <v>3125</v>
      </c>
      <c r="I24" s="538">
        <v>0</v>
      </c>
      <c r="J24" s="538">
        <v>120</v>
      </c>
      <c r="K24" s="596">
        <f>H24/SUM(H14+H4-I14-I4-J14-J4)</f>
        <v>7.5849514563106784</v>
      </c>
      <c r="L24" s="538">
        <f>H24*0.05</f>
        <v>156.25</v>
      </c>
      <c r="M24" s="172"/>
      <c r="N24" s="172"/>
      <c r="O24" s="172"/>
      <c r="P24" s="172"/>
      <c r="Q24" s="258"/>
      <c r="R24" s="258"/>
      <c r="S24" s="31"/>
      <c r="T24" s="31"/>
      <c r="U24" s="31"/>
      <c r="V24" s="2"/>
      <c r="W24" s="2"/>
      <c r="X24" s="2"/>
    </row>
    <row r="25" spans="1:24" s="52" customFormat="1" x14ac:dyDescent="0.3">
      <c r="A25" s="260"/>
      <c r="B25" s="262">
        <v>22</v>
      </c>
      <c r="C25" s="196">
        <v>43897</v>
      </c>
      <c r="D25" s="197">
        <v>949</v>
      </c>
      <c r="E25" s="198">
        <f t="shared" si="1"/>
        <v>296</v>
      </c>
      <c r="F25" s="504"/>
      <c r="G25" s="195">
        <f t="shared" ref="G25:G33" si="3">F$24/16</f>
        <v>312.5</v>
      </c>
      <c r="H25" s="539"/>
      <c r="I25" s="539"/>
      <c r="J25" s="539"/>
      <c r="K25" s="597"/>
      <c r="L25" s="539"/>
      <c r="M25" s="172"/>
      <c r="N25" s="172"/>
      <c r="O25" s="172"/>
      <c r="P25" s="172"/>
      <c r="Q25" s="258"/>
      <c r="R25" s="258"/>
      <c r="S25" s="31"/>
      <c r="T25" s="31"/>
      <c r="U25" s="31"/>
      <c r="V25" s="2"/>
      <c r="W25" s="2"/>
      <c r="X25" s="2"/>
    </row>
    <row r="26" spans="1:24" s="52" customFormat="1" ht="23.25" customHeight="1" x14ac:dyDescent="0.3">
      <c r="A26" s="260"/>
      <c r="B26" s="262">
        <v>23</v>
      </c>
      <c r="C26" s="196">
        <v>43898</v>
      </c>
      <c r="D26" s="197">
        <v>1209</v>
      </c>
      <c r="E26" s="198">
        <f t="shared" si="1"/>
        <v>260</v>
      </c>
      <c r="F26" s="504"/>
      <c r="G26" s="195">
        <f t="shared" si="3"/>
        <v>312.5</v>
      </c>
      <c r="H26" s="539"/>
      <c r="I26" s="539"/>
      <c r="J26" s="539"/>
      <c r="K26" s="597"/>
      <c r="L26" s="539"/>
      <c r="M26" s="172"/>
      <c r="N26" s="172"/>
      <c r="O26" s="172"/>
      <c r="P26" s="172"/>
      <c r="Q26" s="258"/>
      <c r="R26" s="258"/>
      <c r="S26" s="31"/>
      <c r="T26" s="31"/>
      <c r="U26" s="31"/>
      <c r="V26" s="2"/>
      <c r="W26" s="2"/>
      <c r="X26" s="2"/>
    </row>
    <row r="27" spans="1:24" s="52" customFormat="1" x14ac:dyDescent="0.3">
      <c r="A27" s="260"/>
      <c r="B27" s="262">
        <v>24</v>
      </c>
      <c r="C27" s="196">
        <v>43899</v>
      </c>
      <c r="D27" s="213">
        <v>1412</v>
      </c>
      <c r="E27" s="198">
        <f t="shared" si="1"/>
        <v>203</v>
      </c>
      <c r="F27" s="504"/>
      <c r="G27" s="195">
        <f t="shared" si="3"/>
        <v>312.5</v>
      </c>
      <c r="H27" s="539"/>
      <c r="I27" s="539"/>
      <c r="J27" s="539"/>
      <c r="K27" s="597"/>
      <c r="L27" s="539"/>
      <c r="M27" s="172"/>
      <c r="N27" s="172"/>
      <c r="O27" s="172"/>
      <c r="P27" s="172"/>
      <c r="Q27" s="258"/>
      <c r="R27" s="258"/>
      <c r="S27" s="31"/>
      <c r="T27" s="31"/>
      <c r="U27" s="31"/>
      <c r="V27" s="2"/>
      <c r="W27" s="2"/>
      <c r="X27" s="2"/>
    </row>
    <row r="28" spans="1:24" s="52" customFormat="1" x14ac:dyDescent="0.3">
      <c r="A28" s="260"/>
      <c r="B28" s="262">
        <v>25</v>
      </c>
      <c r="C28" s="196">
        <v>43900</v>
      </c>
      <c r="D28" s="213">
        <v>1784</v>
      </c>
      <c r="E28" s="198">
        <f t="shared" si="1"/>
        <v>372</v>
      </c>
      <c r="F28" s="504"/>
      <c r="G28" s="195">
        <f t="shared" si="3"/>
        <v>312.5</v>
      </c>
      <c r="H28" s="539"/>
      <c r="I28" s="539"/>
      <c r="J28" s="539"/>
      <c r="K28" s="597"/>
      <c r="L28" s="539"/>
      <c r="M28" s="172"/>
      <c r="N28" s="172"/>
      <c r="O28" s="172"/>
      <c r="P28" s="172"/>
      <c r="Q28" s="258"/>
      <c r="R28" s="258"/>
      <c r="S28" s="31"/>
      <c r="T28" s="31"/>
      <c r="U28" s="31"/>
      <c r="V28" s="2"/>
      <c r="W28" s="2"/>
      <c r="X28" s="2"/>
    </row>
    <row r="29" spans="1:24" s="52" customFormat="1" x14ac:dyDescent="0.3">
      <c r="A29" s="260"/>
      <c r="B29" s="262">
        <v>26</v>
      </c>
      <c r="C29" s="196">
        <v>43901</v>
      </c>
      <c r="D29" s="213">
        <v>2281</v>
      </c>
      <c r="E29" s="198">
        <f t="shared" si="1"/>
        <v>497</v>
      </c>
      <c r="F29" s="504"/>
      <c r="G29" s="195">
        <f t="shared" si="3"/>
        <v>312.5</v>
      </c>
      <c r="H29" s="539"/>
      <c r="I29" s="539"/>
      <c r="J29" s="539"/>
      <c r="K29" s="597"/>
      <c r="L29" s="539"/>
      <c r="M29" s="172"/>
      <c r="N29" s="172"/>
      <c r="O29" s="172"/>
      <c r="P29" s="172"/>
      <c r="Q29" s="258"/>
      <c r="R29" s="258"/>
      <c r="S29" s="31"/>
      <c r="T29" s="31"/>
      <c r="U29" s="31"/>
      <c r="V29" s="2"/>
      <c r="W29" s="2"/>
      <c r="X29" s="2"/>
    </row>
    <row r="30" spans="1:24" s="52" customFormat="1" x14ac:dyDescent="0.3">
      <c r="A30" s="279"/>
      <c r="B30" s="262">
        <v>27</v>
      </c>
      <c r="C30" s="196">
        <v>43902</v>
      </c>
      <c r="D30" s="213">
        <v>2876</v>
      </c>
      <c r="E30" s="198">
        <f t="shared" si="1"/>
        <v>595</v>
      </c>
      <c r="F30" s="504"/>
      <c r="G30" s="195">
        <f t="shared" si="3"/>
        <v>312.5</v>
      </c>
      <c r="H30" s="539"/>
      <c r="I30" s="539"/>
      <c r="J30" s="539"/>
      <c r="K30" s="597"/>
      <c r="L30" s="539"/>
      <c r="M30" s="172"/>
      <c r="N30" s="172"/>
      <c r="O30" s="172"/>
      <c r="P30" s="172"/>
      <c r="Q30" s="258"/>
      <c r="R30" s="258"/>
      <c r="S30" s="31"/>
      <c r="T30" s="31"/>
      <c r="U30" s="31"/>
      <c r="V30" s="2"/>
      <c r="W30" s="2"/>
      <c r="X30" s="2"/>
    </row>
    <row r="31" spans="1:24" s="52" customFormat="1" x14ac:dyDescent="0.3">
      <c r="A31" s="260"/>
      <c r="B31" s="215">
        <v>28</v>
      </c>
      <c r="C31" s="219">
        <v>43903</v>
      </c>
      <c r="D31" s="213">
        <v>3661</v>
      </c>
      <c r="E31" s="198">
        <f t="shared" si="1"/>
        <v>785</v>
      </c>
      <c r="F31" s="504"/>
      <c r="G31" s="195">
        <f t="shared" si="3"/>
        <v>312.5</v>
      </c>
      <c r="H31" s="539"/>
      <c r="I31" s="539"/>
      <c r="J31" s="539"/>
      <c r="K31" s="597"/>
      <c r="L31" s="539"/>
      <c r="M31" s="172"/>
      <c r="N31" s="172"/>
      <c r="O31" s="172"/>
      <c r="P31" s="172"/>
      <c r="Q31" s="258"/>
      <c r="R31" s="258"/>
      <c r="S31" s="31"/>
      <c r="T31" s="31"/>
      <c r="U31" s="31"/>
      <c r="V31" s="2"/>
      <c r="W31" s="2"/>
      <c r="X31" s="2"/>
    </row>
    <row r="32" spans="1:24" s="52" customFormat="1" x14ac:dyDescent="0.3">
      <c r="A32" s="260"/>
      <c r="B32" s="262">
        <v>29</v>
      </c>
      <c r="C32" s="196">
        <v>43904</v>
      </c>
      <c r="D32" s="213">
        <v>4499</v>
      </c>
      <c r="E32" s="198">
        <f t="shared" si="1"/>
        <v>838</v>
      </c>
      <c r="F32" s="504"/>
      <c r="G32" s="195">
        <f t="shared" si="3"/>
        <v>312.5</v>
      </c>
      <c r="H32" s="539"/>
      <c r="I32" s="539"/>
      <c r="J32" s="539"/>
      <c r="K32" s="597"/>
      <c r="L32" s="539"/>
      <c r="M32" s="172"/>
      <c r="N32" s="172"/>
      <c r="O32" s="172"/>
      <c r="P32" s="172"/>
      <c r="Q32" s="258"/>
      <c r="R32" s="258"/>
      <c r="S32" s="31"/>
      <c r="T32" s="31"/>
      <c r="U32" s="31"/>
      <c r="V32" s="2"/>
      <c r="W32" s="2"/>
      <c r="X32" s="2"/>
    </row>
    <row r="33" spans="1:24" s="31" customFormat="1" ht="19.5" thickBot="1" x14ac:dyDescent="0.3">
      <c r="A33" s="260"/>
      <c r="B33" s="263">
        <v>30</v>
      </c>
      <c r="C33" s="203">
        <v>43905</v>
      </c>
      <c r="D33" s="214">
        <v>5423</v>
      </c>
      <c r="E33" s="202">
        <f t="shared" si="1"/>
        <v>924</v>
      </c>
      <c r="F33" s="505"/>
      <c r="G33" s="195">
        <f t="shared" si="3"/>
        <v>312.5</v>
      </c>
      <c r="H33" s="540"/>
      <c r="I33" s="540"/>
      <c r="J33" s="540"/>
      <c r="K33" s="598"/>
      <c r="L33" s="540"/>
      <c r="M33" s="172"/>
      <c r="N33" s="172"/>
      <c r="O33" s="172"/>
      <c r="P33" s="172"/>
      <c r="Q33" s="258"/>
      <c r="R33" s="258"/>
      <c r="V33" s="2"/>
      <c r="W33" s="2"/>
      <c r="X33" s="2"/>
    </row>
    <row r="34" spans="1:24" s="31" customFormat="1" x14ac:dyDescent="0.25">
      <c r="A34" s="266">
        <v>1</v>
      </c>
      <c r="B34" s="264">
        <v>31</v>
      </c>
      <c r="C34" s="353">
        <v>43906</v>
      </c>
      <c r="D34" s="205">
        <v>6633</v>
      </c>
      <c r="E34" s="194">
        <f t="shared" si="1"/>
        <v>1210</v>
      </c>
      <c r="F34" s="503">
        <f>SUM(E34:E43)</f>
        <v>19810</v>
      </c>
      <c r="G34" s="195">
        <f>F$34/10</f>
        <v>1981</v>
      </c>
      <c r="H34" s="538">
        <f>SUM(G34:G43)</f>
        <v>19810</v>
      </c>
      <c r="I34" s="538">
        <v>3888</v>
      </c>
      <c r="J34" s="538">
        <v>1204</v>
      </c>
      <c r="K34" s="596">
        <f>H34/SUM(H24+H14+H4-I24-I14-I4-J24-J14-J4)</f>
        <v>5.7974831723734273</v>
      </c>
      <c r="L34" s="538">
        <f>H34*0.05</f>
        <v>990.5</v>
      </c>
      <c r="M34" s="172"/>
      <c r="N34" s="172"/>
      <c r="O34" s="172"/>
      <c r="P34" s="172"/>
      <c r="Q34" s="258"/>
      <c r="R34" s="258"/>
      <c r="V34" s="2"/>
      <c r="W34" s="2"/>
      <c r="X34" s="2"/>
    </row>
    <row r="35" spans="1:24" s="31" customFormat="1" ht="19.5" thickBot="1" x14ac:dyDescent="0.3">
      <c r="A35" s="260">
        <v>2</v>
      </c>
      <c r="B35" s="265">
        <v>32</v>
      </c>
      <c r="C35" s="268">
        <v>43907</v>
      </c>
      <c r="D35" s="208">
        <v>7730</v>
      </c>
      <c r="E35" s="198">
        <f t="shared" si="1"/>
        <v>1097</v>
      </c>
      <c r="F35" s="504"/>
      <c r="G35" s="195">
        <f t="shared" ref="G35:G43" si="4">F$34/10</f>
        <v>1981</v>
      </c>
      <c r="H35" s="539"/>
      <c r="I35" s="539"/>
      <c r="J35" s="539"/>
      <c r="K35" s="597"/>
      <c r="L35" s="599"/>
      <c r="M35" s="359"/>
      <c r="N35" s="356"/>
      <c r="O35" s="356"/>
      <c r="P35" s="356"/>
      <c r="Q35" s="357"/>
      <c r="R35" s="357"/>
      <c r="V35" s="2"/>
      <c r="W35" s="2"/>
      <c r="X35" s="2"/>
    </row>
    <row r="36" spans="1:24" s="31" customFormat="1" ht="15.75" x14ac:dyDescent="0.25">
      <c r="A36" s="260">
        <v>3</v>
      </c>
      <c r="B36" s="265">
        <v>33</v>
      </c>
      <c r="C36" s="209">
        <v>43908</v>
      </c>
      <c r="D36" s="208">
        <v>9134</v>
      </c>
      <c r="E36" s="198">
        <f t="shared" si="1"/>
        <v>1404</v>
      </c>
      <c r="F36" s="504"/>
      <c r="G36" s="195">
        <f t="shared" si="4"/>
        <v>1981</v>
      </c>
      <c r="H36" s="539"/>
      <c r="I36" s="539"/>
      <c r="J36" s="539"/>
      <c r="K36" s="597"/>
      <c r="L36" s="599"/>
      <c r="M36" s="360"/>
      <c r="N36" s="358"/>
      <c r="O36" s="358"/>
      <c r="P36" s="358"/>
      <c r="Q36" s="358"/>
      <c r="R36" s="358"/>
      <c r="V36" s="2"/>
      <c r="W36" s="2"/>
      <c r="X36" s="2"/>
    </row>
    <row r="37" spans="1:24" s="31" customFormat="1" ht="16.5" thickBot="1" x14ac:dyDescent="0.3">
      <c r="A37" s="260">
        <v>4</v>
      </c>
      <c r="B37" s="265">
        <v>34</v>
      </c>
      <c r="C37" s="206">
        <v>43909</v>
      </c>
      <c r="D37" s="208">
        <v>10995</v>
      </c>
      <c r="E37" s="198">
        <f t="shared" si="1"/>
        <v>1861</v>
      </c>
      <c r="F37" s="504"/>
      <c r="G37" s="195">
        <f t="shared" si="4"/>
        <v>1981</v>
      </c>
      <c r="H37" s="539"/>
      <c r="I37" s="539"/>
      <c r="J37" s="539"/>
      <c r="K37" s="597"/>
      <c r="L37" s="599"/>
      <c r="M37" s="360"/>
      <c r="N37" s="358"/>
      <c r="O37" s="358"/>
      <c r="P37" s="358"/>
      <c r="Q37" s="358"/>
      <c r="R37" s="358"/>
      <c r="V37" s="2"/>
      <c r="W37" s="2"/>
      <c r="X37" s="2"/>
    </row>
    <row r="38" spans="1:24" s="31" customFormat="1" ht="15.75" x14ac:dyDescent="0.25">
      <c r="A38" s="260">
        <v>5</v>
      </c>
      <c r="B38" s="265">
        <v>35</v>
      </c>
      <c r="C38" s="204">
        <v>43910</v>
      </c>
      <c r="D38" s="208">
        <v>12612</v>
      </c>
      <c r="E38" s="198">
        <f t="shared" si="1"/>
        <v>1617</v>
      </c>
      <c r="F38" s="504"/>
      <c r="G38" s="195">
        <f t="shared" si="4"/>
        <v>1981</v>
      </c>
      <c r="H38" s="539"/>
      <c r="I38" s="539"/>
      <c r="J38" s="539"/>
      <c r="K38" s="597"/>
      <c r="L38" s="599"/>
      <c r="M38" s="360"/>
      <c r="N38" s="358"/>
      <c r="O38" s="358"/>
      <c r="P38" s="358"/>
      <c r="Q38" s="358"/>
      <c r="R38" s="358"/>
      <c r="V38" s="2"/>
      <c r="W38" s="2"/>
      <c r="X38" s="2"/>
    </row>
    <row r="39" spans="1:24" s="31" customFormat="1" ht="16.5" thickBot="1" x14ac:dyDescent="0.3">
      <c r="A39" s="260">
        <v>6</v>
      </c>
      <c r="B39" s="265">
        <v>36</v>
      </c>
      <c r="C39" s="206">
        <v>43911</v>
      </c>
      <c r="D39" s="208">
        <v>14459</v>
      </c>
      <c r="E39" s="198">
        <f t="shared" si="1"/>
        <v>1847</v>
      </c>
      <c r="F39" s="504"/>
      <c r="G39" s="195">
        <f t="shared" si="4"/>
        <v>1981</v>
      </c>
      <c r="H39" s="539"/>
      <c r="I39" s="539"/>
      <c r="J39" s="539"/>
      <c r="K39" s="597"/>
      <c r="L39" s="599"/>
      <c r="M39" s="360"/>
      <c r="N39" s="358"/>
      <c r="O39" s="358"/>
      <c r="P39" s="358"/>
      <c r="Q39" s="358"/>
      <c r="R39" s="358"/>
      <c r="V39" s="2"/>
      <c r="W39" s="2"/>
      <c r="X39" s="2"/>
    </row>
    <row r="40" spans="1:24" s="31" customFormat="1" ht="15.75" x14ac:dyDescent="0.25">
      <c r="A40" s="260">
        <v>7</v>
      </c>
      <c r="B40" s="265">
        <v>37</v>
      </c>
      <c r="C40" s="204">
        <v>43912</v>
      </c>
      <c r="D40" s="208">
        <v>16018</v>
      </c>
      <c r="E40" s="198">
        <f t="shared" si="1"/>
        <v>1559</v>
      </c>
      <c r="F40" s="504"/>
      <c r="G40" s="195">
        <f t="shared" si="4"/>
        <v>1981</v>
      </c>
      <c r="H40" s="539"/>
      <c r="I40" s="539"/>
      <c r="J40" s="539"/>
      <c r="K40" s="597"/>
      <c r="L40" s="599"/>
      <c r="M40" s="360"/>
      <c r="N40" s="358"/>
      <c r="O40" s="358"/>
      <c r="P40" s="358"/>
      <c r="Q40" s="358"/>
      <c r="R40" s="358"/>
      <c r="V40" s="2"/>
      <c r="W40" s="2"/>
      <c r="X40" s="2"/>
    </row>
    <row r="41" spans="1:24" s="31" customFormat="1" ht="16.5" thickBot="1" x14ac:dyDescent="0.3">
      <c r="A41" s="260">
        <v>8</v>
      </c>
      <c r="B41" s="265">
        <v>38</v>
      </c>
      <c r="C41" s="206">
        <v>43913</v>
      </c>
      <c r="D41" s="208">
        <v>19856</v>
      </c>
      <c r="E41" s="198">
        <f t="shared" si="1"/>
        <v>3838</v>
      </c>
      <c r="F41" s="504"/>
      <c r="G41" s="195">
        <f t="shared" si="4"/>
        <v>1981</v>
      </c>
      <c r="H41" s="539"/>
      <c r="I41" s="539"/>
      <c r="J41" s="539"/>
      <c r="K41" s="597"/>
      <c r="L41" s="599"/>
      <c r="M41" s="360"/>
      <c r="N41" s="358"/>
      <c r="O41" s="358"/>
      <c r="P41" s="358"/>
      <c r="Q41" s="358"/>
      <c r="R41" s="358"/>
      <c r="V41" s="2"/>
      <c r="W41" s="2"/>
      <c r="X41" s="2"/>
    </row>
    <row r="42" spans="1:24" s="31" customFormat="1" x14ac:dyDescent="0.25">
      <c r="A42" s="260">
        <v>9</v>
      </c>
      <c r="B42" s="265">
        <v>39</v>
      </c>
      <c r="C42" s="204">
        <v>43914</v>
      </c>
      <c r="D42" s="208">
        <v>22304</v>
      </c>
      <c r="E42" s="198">
        <f t="shared" si="1"/>
        <v>2448</v>
      </c>
      <c r="F42" s="504"/>
      <c r="G42" s="195">
        <f t="shared" si="4"/>
        <v>1981</v>
      </c>
      <c r="H42" s="539"/>
      <c r="I42" s="539"/>
      <c r="J42" s="539"/>
      <c r="K42" s="597"/>
      <c r="L42" s="539"/>
      <c r="M42" s="172"/>
      <c r="N42" s="356"/>
      <c r="O42" s="356"/>
      <c r="P42" s="356"/>
      <c r="Q42" s="357"/>
      <c r="R42" s="357"/>
      <c r="V42" s="2"/>
      <c r="W42" s="2"/>
      <c r="X42" s="2"/>
    </row>
    <row r="43" spans="1:24" s="31" customFormat="1" ht="19.5" thickBot="1" x14ac:dyDescent="0.3">
      <c r="A43" s="260">
        <v>10</v>
      </c>
      <c r="B43" s="354">
        <v>40</v>
      </c>
      <c r="C43" s="209">
        <v>43915</v>
      </c>
      <c r="D43" s="355">
        <v>25233</v>
      </c>
      <c r="E43" s="218">
        <f t="shared" si="1"/>
        <v>2929</v>
      </c>
      <c r="F43" s="505"/>
      <c r="G43" s="195">
        <f t="shared" si="4"/>
        <v>1981</v>
      </c>
      <c r="H43" s="540"/>
      <c r="I43" s="540"/>
      <c r="J43" s="540"/>
      <c r="K43" s="598"/>
      <c r="L43" s="540"/>
      <c r="M43" s="172"/>
      <c r="N43" s="172"/>
      <c r="O43" s="172"/>
      <c r="P43" s="172"/>
      <c r="Q43" s="258"/>
      <c r="R43" s="258"/>
      <c r="V43" s="2"/>
      <c r="W43" s="2"/>
      <c r="X43" s="2"/>
    </row>
    <row r="44" spans="1:24" s="31" customFormat="1" x14ac:dyDescent="0.25">
      <c r="A44" s="260">
        <v>11</v>
      </c>
      <c r="B44" s="261">
        <v>41</v>
      </c>
      <c r="C44" s="272">
        <v>43916</v>
      </c>
      <c r="D44" s="273">
        <v>29155</v>
      </c>
      <c r="E44" s="328">
        <f>D44-D43</f>
        <v>3922</v>
      </c>
      <c r="F44" s="541">
        <f>SUM(E44:E53)</f>
        <v>64720</v>
      </c>
      <c r="G44" s="275">
        <f>H$44/10</f>
        <v>6472</v>
      </c>
      <c r="H44" s="535">
        <v>64720</v>
      </c>
      <c r="I44" s="538">
        <v>11538</v>
      </c>
      <c r="J44" s="538">
        <v>6229</v>
      </c>
      <c r="K44" s="600">
        <f>H44/SUM(H34+H24+H14+H4-I34-I24-I14-I4-J34-J24-J14-J4)</f>
        <v>3.5687896333057623</v>
      </c>
      <c r="L44" s="535">
        <f>H44*0.05</f>
        <v>3236</v>
      </c>
      <c r="M44" s="172"/>
      <c r="N44" s="172"/>
      <c r="O44" s="172"/>
      <c r="P44" s="172"/>
      <c r="Q44" s="258"/>
      <c r="R44" s="258"/>
      <c r="V44" s="2"/>
      <c r="W44" s="2"/>
      <c r="X44" s="2"/>
    </row>
    <row r="45" spans="1:24" s="31" customFormat="1" x14ac:dyDescent="0.25">
      <c r="A45" s="260">
        <v>12</v>
      </c>
      <c r="B45" s="262">
        <v>42</v>
      </c>
      <c r="C45" s="276">
        <v>43917</v>
      </c>
      <c r="D45" s="277">
        <v>32964</v>
      </c>
      <c r="E45" s="278">
        <f>D45-D44</f>
        <v>3809</v>
      </c>
      <c r="F45" s="542"/>
      <c r="G45" s="275">
        <f t="shared" ref="G45:G53" si="5">H$44/10</f>
        <v>6472</v>
      </c>
      <c r="H45" s="536"/>
      <c r="I45" s="539"/>
      <c r="J45" s="539"/>
      <c r="K45" s="601"/>
      <c r="L45" s="536"/>
      <c r="M45" s="172"/>
      <c r="N45" s="172"/>
      <c r="O45" s="172"/>
      <c r="P45" s="172"/>
      <c r="Q45" s="258"/>
      <c r="R45" s="258"/>
      <c r="V45" s="2"/>
      <c r="W45" s="2"/>
      <c r="X45" s="2"/>
    </row>
    <row r="46" spans="1:24" s="31" customFormat="1" x14ac:dyDescent="0.25">
      <c r="A46" s="260">
        <v>13</v>
      </c>
      <c r="B46" s="262">
        <v>43</v>
      </c>
      <c r="C46" s="276">
        <v>43918</v>
      </c>
      <c r="D46" s="277">
        <v>37575</v>
      </c>
      <c r="E46" s="278">
        <f t="shared" ref="E46:E53" si="6">D46-D45</f>
        <v>4611</v>
      </c>
      <c r="F46" s="542"/>
      <c r="G46" s="275">
        <f t="shared" si="5"/>
        <v>6472</v>
      </c>
      <c r="H46" s="536"/>
      <c r="I46" s="539"/>
      <c r="J46" s="539"/>
      <c r="K46" s="601"/>
      <c r="L46" s="536"/>
      <c r="M46" s="172"/>
      <c r="N46" s="172"/>
      <c r="O46" s="172"/>
      <c r="P46" s="172"/>
      <c r="Q46" s="258"/>
      <c r="R46" s="258"/>
      <c r="V46" s="2"/>
      <c r="W46" s="2"/>
      <c r="X46" s="2"/>
    </row>
    <row r="47" spans="1:24" s="31" customFormat="1" x14ac:dyDescent="0.25">
      <c r="A47" s="260">
        <v>14</v>
      </c>
      <c r="B47" s="262">
        <v>44</v>
      </c>
      <c r="C47" s="276">
        <v>43919</v>
      </c>
      <c r="D47" s="277">
        <v>40174</v>
      </c>
      <c r="E47" s="278">
        <f t="shared" si="6"/>
        <v>2599</v>
      </c>
      <c r="F47" s="542"/>
      <c r="G47" s="275">
        <f t="shared" si="5"/>
        <v>6472</v>
      </c>
      <c r="H47" s="536"/>
      <c r="I47" s="539"/>
      <c r="J47" s="539"/>
      <c r="K47" s="601"/>
      <c r="L47" s="536"/>
      <c r="M47" s="172"/>
      <c r="N47" s="172"/>
      <c r="O47" s="172"/>
      <c r="P47" s="172"/>
      <c r="Q47" s="258"/>
      <c r="R47" s="258"/>
      <c r="V47" s="2"/>
      <c r="W47" s="2"/>
      <c r="X47" s="2"/>
    </row>
    <row r="48" spans="1:24" s="31" customFormat="1" x14ac:dyDescent="0.25">
      <c r="A48" s="260">
        <v>15</v>
      </c>
      <c r="B48" s="262">
        <v>45</v>
      </c>
      <c r="C48" s="276">
        <v>43920</v>
      </c>
      <c r="D48" s="277">
        <v>44550</v>
      </c>
      <c r="E48" s="278">
        <f t="shared" si="6"/>
        <v>4376</v>
      </c>
      <c r="F48" s="542"/>
      <c r="G48" s="275">
        <f t="shared" si="5"/>
        <v>6472</v>
      </c>
      <c r="H48" s="536"/>
      <c r="I48" s="539"/>
      <c r="J48" s="539"/>
      <c r="K48" s="601"/>
      <c r="L48" s="536"/>
      <c r="M48" s="172"/>
      <c r="N48" s="172"/>
      <c r="O48" s="172"/>
      <c r="P48" s="172"/>
      <c r="Q48" s="258"/>
      <c r="R48" s="258"/>
      <c r="V48" s="2"/>
      <c r="W48" s="2"/>
      <c r="X48" s="2"/>
    </row>
    <row r="49" spans="1:24" s="52" customFormat="1" x14ac:dyDescent="0.3">
      <c r="A49" s="260">
        <v>16</v>
      </c>
      <c r="B49" s="262">
        <v>46</v>
      </c>
      <c r="C49" s="276">
        <v>43921</v>
      </c>
      <c r="D49" s="277">
        <v>52128</v>
      </c>
      <c r="E49" s="278">
        <f t="shared" si="6"/>
        <v>7578</v>
      </c>
      <c r="F49" s="542"/>
      <c r="G49" s="275">
        <f t="shared" si="5"/>
        <v>6472</v>
      </c>
      <c r="H49" s="536"/>
      <c r="I49" s="539"/>
      <c r="J49" s="539"/>
      <c r="K49" s="601"/>
      <c r="L49" s="536"/>
      <c r="M49" s="172"/>
      <c r="N49" s="172"/>
      <c r="O49" s="172"/>
      <c r="P49" s="172"/>
      <c r="Q49" s="258"/>
      <c r="R49" s="258"/>
      <c r="S49" s="31"/>
      <c r="T49" s="31"/>
      <c r="U49" s="31"/>
      <c r="V49" s="2"/>
      <c r="W49" s="2"/>
      <c r="X49" s="2"/>
    </row>
    <row r="50" spans="1:24" s="52" customFormat="1" x14ac:dyDescent="0.3">
      <c r="A50" s="260">
        <v>17</v>
      </c>
      <c r="B50" s="262">
        <v>47</v>
      </c>
      <c r="C50" s="276">
        <v>43922</v>
      </c>
      <c r="D50" s="277">
        <v>56989</v>
      </c>
      <c r="E50" s="278">
        <f t="shared" si="6"/>
        <v>4861</v>
      </c>
      <c r="F50" s="542"/>
      <c r="G50" s="275">
        <f t="shared" si="5"/>
        <v>6472</v>
      </c>
      <c r="H50" s="536"/>
      <c r="I50" s="539"/>
      <c r="J50" s="539"/>
      <c r="K50" s="601"/>
      <c r="L50" s="536"/>
      <c r="M50" s="172"/>
      <c r="N50" s="172"/>
      <c r="O50" s="172"/>
      <c r="P50" s="172"/>
      <c r="Q50" s="258"/>
      <c r="R50" s="258"/>
      <c r="S50" s="31"/>
      <c r="T50" s="31"/>
      <c r="U50" s="31"/>
      <c r="V50" s="2"/>
      <c r="W50" s="2"/>
      <c r="X50" s="2"/>
    </row>
    <row r="51" spans="1:24" s="52" customFormat="1" x14ac:dyDescent="0.3">
      <c r="A51" s="260">
        <v>18</v>
      </c>
      <c r="B51" s="262">
        <v>48</v>
      </c>
      <c r="C51" s="276">
        <v>43923</v>
      </c>
      <c r="D51" s="277">
        <v>59105</v>
      </c>
      <c r="E51" s="278">
        <f t="shared" si="6"/>
        <v>2116</v>
      </c>
      <c r="F51" s="542"/>
      <c r="G51" s="275">
        <f t="shared" si="5"/>
        <v>6472</v>
      </c>
      <c r="H51" s="536"/>
      <c r="I51" s="539"/>
      <c r="J51" s="539"/>
      <c r="K51" s="601"/>
      <c r="L51" s="536"/>
      <c r="M51" s="172"/>
      <c r="N51" s="172"/>
      <c r="O51" s="172"/>
      <c r="P51" s="172"/>
      <c r="Q51" s="258"/>
      <c r="R51" s="258"/>
      <c r="S51" s="31"/>
      <c r="T51" s="31"/>
      <c r="U51" s="31"/>
      <c r="V51" s="2"/>
      <c r="W51" s="2"/>
      <c r="X51" s="2"/>
    </row>
    <row r="52" spans="1:24" s="52" customFormat="1" x14ac:dyDescent="0.3">
      <c r="A52" s="260">
        <v>19</v>
      </c>
      <c r="B52" s="262">
        <v>49</v>
      </c>
      <c r="C52" s="276">
        <v>43924</v>
      </c>
      <c r="D52" s="277">
        <v>82165</v>
      </c>
      <c r="E52" s="278">
        <f t="shared" si="6"/>
        <v>23060</v>
      </c>
      <c r="F52" s="542"/>
      <c r="G52" s="275">
        <f t="shared" si="5"/>
        <v>6472</v>
      </c>
      <c r="H52" s="536"/>
      <c r="I52" s="539"/>
      <c r="J52" s="539"/>
      <c r="K52" s="601"/>
      <c r="L52" s="536"/>
      <c r="M52" s="172"/>
      <c r="N52" s="172"/>
      <c r="O52" s="172"/>
      <c r="P52" s="172"/>
      <c r="Q52" s="258"/>
      <c r="R52" s="258"/>
      <c r="S52" s="31"/>
      <c r="T52" s="31"/>
      <c r="U52" s="31"/>
      <c r="V52" s="2"/>
      <c r="W52" s="2"/>
      <c r="X52" s="2"/>
    </row>
    <row r="53" spans="1:24" s="52" customFormat="1" ht="19.5" thickBot="1" x14ac:dyDescent="0.35">
      <c r="A53" s="260">
        <v>20</v>
      </c>
      <c r="B53" s="263">
        <v>50</v>
      </c>
      <c r="C53" s="281">
        <v>43925</v>
      </c>
      <c r="D53" s="282">
        <v>89953</v>
      </c>
      <c r="E53" s="278">
        <f t="shared" si="6"/>
        <v>7788</v>
      </c>
      <c r="F53" s="543"/>
      <c r="G53" s="275">
        <f t="shared" si="5"/>
        <v>6472</v>
      </c>
      <c r="H53" s="537"/>
      <c r="I53" s="540"/>
      <c r="J53" s="540"/>
      <c r="K53" s="602"/>
      <c r="L53" s="537"/>
      <c r="M53" s="172"/>
      <c r="N53" s="172"/>
      <c r="O53" s="172"/>
      <c r="P53" s="172"/>
      <c r="Q53" s="258"/>
      <c r="R53" s="258"/>
      <c r="S53" s="31"/>
      <c r="T53" s="31"/>
      <c r="U53" s="31"/>
      <c r="V53" s="2"/>
      <c r="W53" s="2"/>
      <c r="X53" s="2"/>
    </row>
    <row r="54" spans="1:24" s="52" customFormat="1" x14ac:dyDescent="0.3">
      <c r="A54" s="260">
        <v>21</v>
      </c>
      <c r="B54" s="261">
        <v>51</v>
      </c>
      <c r="C54" s="284">
        <v>43926</v>
      </c>
      <c r="D54" s="285"/>
      <c r="E54" s="286"/>
      <c r="F54" s="532">
        <f>SUM(E54:E63)</f>
        <v>0</v>
      </c>
      <c r="G54" s="287">
        <f>H$54/10</f>
        <v>4500</v>
      </c>
      <c r="H54" s="523">
        <v>45000</v>
      </c>
      <c r="I54" s="523"/>
      <c r="J54" s="523"/>
      <c r="K54" s="603">
        <f>H54/SUM(H44+H34+H24+H14+H4-I44-I34-I24-I14-J44-J34-J24-J14-I4-J4)</f>
        <v>0.6913716814159292</v>
      </c>
      <c r="L54" s="529">
        <f>H54*0.05</f>
        <v>2250</v>
      </c>
      <c r="M54" s="172"/>
      <c r="N54" s="172"/>
      <c r="O54" s="172"/>
      <c r="P54" s="172"/>
      <c r="Q54" s="258"/>
      <c r="R54" s="258"/>
      <c r="S54" s="31"/>
      <c r="T54" s="31"/>
      <c r="U54" s="31"/>
      <c r="V54" s="2"/>
      <c r="W54" s="2"/>
      <c r="X54" s="2"/>
    </row>
    <row r="55" spans="1:24" s="52" customFormat="1" x14ac:dyDescent="0.3">
      <c r="A55" s="260">
        <v>22</v>
      </c>
      <c r="B55" s="262">
        <v>52</v>
      </c>
      <c r="C55" s="288">
        <v>43927</v>
      </c>
      <c r="D55" s="289"/>
      <c r="E55" s="290"/>
      <c r="F55" s="533"/>
      <c r="G55" s="287">
        <f t="shared" ref="G55:G63" si="7">H$54/10</f>
        <v>4500</v>
      </c>
      <c r="H55" s="524"/>
      <c r="I55" s="524"/>
      <c r="J55" s="524"/>
      <c r="K55" s="604"/>
      <c r="L55" s="530"/>
      <c r="M55" s="172"/>
      <c r="N55" s="172"/>
      <c r="O55" s="172"/>
      <c r="P55" s="172"/>
      <c r="Q55" s="258"/>
      <c r="R55" s="258"/>
      <c r="S55" s="31"/>
      <c r="T55" s="31"/>
      <c r="U55" s="31"/>
      <c r="V55" s="2"/>
      <c r="W55" s="2"/>
      <c r="X55" s="2"/>
    </row>
    <row r="56" spans="1:24" s="52" customFormat="1" x14ac:dyDescent="0.3">
      <c r="A56" s="260">
        <v>23</v>
      </c>
      <c r="B56" s="262">
        <v>53</v>
      </c>
      <c r="C56" s="288">
        <v>43928</v>
      </c>
      <c r="D56" s="289"/>
      <c r="E56" s="290"/>
      <c r="F56" s="533"/>
      <c r="G56" s="287">
        <f t="shared" si="7"/>
        <v>4500</v>
      </c>
      <c r="H56" s="524"/>
      <c r="I56" s="524"/>
      <c r="J56" s="524"/>
      <c r="K56" s="604"/>
      <c r="L56" s="530"/>
      <c r="M56" s="172"/>
      <c r="N56" s="172"/>
      <c r="O56" s="172"/>
      <c r="P56" s="172"/>
      <c r="Q56" s="258"/>
      <c r="R56" s="258"/>
      <c r="S56" s="31"/>
      <c r="T56" s="31"/>
      <c r="U56" s="31"/>
      <c r="V56" s="2"/>
      <c r="W56" s="2"/>
      <c r="X56" s="2"/>
    </row>
    <row r="57" spans="1:24" s="52" customFormat="1" x14ac:dyDescent="0.3">
      <c r="A57" s="260">
        <v>24</v>
      </c>
      <c r="B57" s="262">
        <v>54</v>
      </c>
      <c r="C57" s="288">
        <v>43929</v>
      </c>
      <c r="D57" s="289"/>
      <c r="E57" s="290"/>
      <c r="F57" s="533"/>
      <c r="G57" s="287">
        <f t="shared" si="7"/>
        <v>4500</v>
      </c>
      <c r="H57" s="524"/>
      <c r="I57" s="524"/>
      <c r="J57" s="524"/>
      <c r="K57" s="604"/>
      <c r="L57" s="530"/>
      <c r="M57" s="172"/>
      <c r="N57" s="172"/>
      <c r="O57" s="172"/>
      <c r="P57" s="172"/>
      <c r="Q57" s="258"/>
      <c r="R57" s="258"/>
      <c r="S57" s="31"/>
      <c r="T57" s="31"/>
      <c r="U57" s="31"/>
      <c r="V57" s="2"/>
      <c r="W57" s="2"/>
      <c r="X57" s="2"/>
    </row>
    <row r="58" spans="1:24" s="52" customFormat="1" x14ac:dyDescent="0.3">
      <c r="A58" s="260">
        <v>25</v>
      </c>
      <c r="B58" s="262">
        <v>55</v>
      </c>
      <c r="C58" s="288">
        <v>43930</v>
      </c>
      <c r="D58" s="289"/>
      <c r="E58" s="290"/>
      <c r="F58" s="533"/>
      <c r="G58" s="287">
        <f t="shared" si="7"/>
        <v>4500</v>
      </c>
      <c r="H58" s="524"/>
      <c r="I58" s="524"/>
      <c r="J58" s="524"/>
      <c r="K58" s="604"/>
      <c r="L58" s="530"/>
      <c r="M58" s="172"/>
      <c r="N58" s="172"/>
      <c r="O58" s="172"/>
      <c r="P58" s="172"/>
      <c r="Q58" s="258"/>
      <c r="R58" s="258"/>
      <c r="S58" s="31"/>
      <c r="T58" s="31"/>
      <c r="U58" s="31"/>
      <c r="V58" s="2"/>
      <c r="W58" s="2"/>
      <c r="X58" s="2"/>
    </row>
    <row r="59" spans="1:24" s="52" customFormat="1" x14ac:dyDescent="0.3">
      <c r="A59" s="260">
        <v>26</v>
      </c>
      <c r="B59" s="215">
        <v>56</v>
      </c>
      <c r="C59" s="288">
        <v>43931</v>
      </c>
      <c r="D59" s="289"/>
      <c r="E59" s="290"/>
      <c r="F59" s="533"/>
      <c r="G59" s="287">
        <f t="shared" si="7"/>
        <v>4500</v>
      </c>
      <c r="H59" s="524"/>
      <c r="I59" s="524"/>
      <c r="J59" s="524"/>
      <c r="K59" s="604"/>
      <c r="L59" s="530"/>
      <c r="M59" s="172"/>
      <c r="N59" s="172"/>
      <c r="O59" s="172"/>
      <c r="P59" s="172"/>
      <c r="Q59" s="258"/>
      <c r="R59" s="258"/>
      <c r="S59" s="31"/>
      <c r="T59" s="31"/>
      <c r="U59" s="31"/>
      <c r="V59" s="2"/>
      <c r="W59" s="2"/>
      <c r="X59" s="2"/>
    </row>
    <row r="60" spans="1:24" s="52" customFormat="1" x14ac:dyDescent="0.3">
      <c r="A60" s="260">
        <v>27</v>
      </c>
      <c r="B60" s="280">
        <v>57</v>
      </c>
      <c r="C60" s="288">
        <v>43932</v>
      </c>
      <c r="D60" s="289"/>
      <c r="E60" s="290"/>
      <c r="F60" s="533"/>
      <c r="G60" s="287">
        <f t="shared" si="7"/>
        <v>4500</v>
      </c>
      <c r="H60" s="524"/>
      <c r="I60" s="524"/>
      <c r="J60" s="524"/>
      <c r="K60" s="604"/>
      <c r="L60" s="530"/>
      <c r="M60" s="172"/>
      <c r="N60" s="172"/>
      <c r="O60" s="172"/>
      <c r="P60" s="172"/>
      <c r="Q60" s="258"/>
      <c r="R60" s="258"/>
      <c r="S60" s="31"/>
      <c r="T60" s="31"/>
      <c r="U60" s="31"/>
      <c r="V60" s="2"/>
      <c r="W60" s="2"/>
      <c r="X60" s="2"/>
    </row>
    <row r="61" spans="1:24" s="52" customFormat="1" x14ac:dyDescent="0.3">
      <c r="A61" s="260">
        <v>28</v>
      </c>
      <c r="B61" s="262">
        <v>58</v>
      </c>
      <c r="C61" s="288">
        <v>43933</v>
      </c>
      <c r="D61" s="289"/>
      <c r="E61" s="290"/>
      <c r="F61" s="533"/>
      <c r="G61" s="287">
        <f t="shared" si="7"/>
        <v>4500</v>
      </c>
      <c r="H61" s="524"/>
      <c r="I61" s="524"/>
      <c r="J61" s="524"/>
      <c r="K61" s="604"/>
      <c r="L61" s="530"/>
      <c r="M61" s="172"/>
      <c r="N61" s="172"/>
      <c r="O61" s="172"/>
      <c r="P61" s="172"/>
      <c r="Q61" s="258"/>
      <c r="R61" s="258"/>
      <c r="S61" s="31"/>
      <c r="T61" s="31"/>
      <c r="U61" s="31"/>
      <c r="V61" s="2"/>
      <c r="W61" s="2"/>
      <c r="X61" s="2"/>
    </row>
    <row r="62" spans="1:24" s="52" customFormat="1" x14ac:dyDescent="0.3">
      <c r="A62" s="260">
        <v>29</v>
      </c>
      <c r="B62" s="262">
        <v>59</v>
      </c>
      <c r="C62" s="288">
        <v>43934</v>
      </c>
      <c r="D62" s="289"/>
      <c r="E62" s="290"/>
      <c r="F62" s="533"/>
      <c r="G62" s="287">
        <f t="shared" si="7"/>
        <v>4500</v>
      </c>
      <c r="H62" s="524"/>
      <c r="I62" s="524"/>
      <c r="J62" s="524"/>
      <c r="K62" s="604"/>
      <c r="L62" s="530"/>
      <c r="M62" s="172"/>
      <c r="N62" s="172"/>
      <c r="O62" s="172"/>
      <c r="P62" s="172"/>
      <c r="Q62" s="258"/>
      <c r="R62" s="258"/>
      <c r="S62" s="31"/>
      <c r="T62" s="31"/>
      <c r="U62" s="31"/>
      <c r="V62" s="2"/>
      <c r="W62" s="2"/>
      <c r="X62" s="2"/>
    </row>
    <row r="63" spans="1:24" s="52" customFormat="1" ht="19.5" thickBot="1" x14ac:dyDescent="0.35">
      <c r="A63" s="260">
        <v>30</v>
      </c>
      <c r="B63" s="263">
        <v>60</v>
      </c>
      <c r="C63" s="291">
        <v>43935</v>
      </c>
      <c r="D63" s="292"/>
      <c r="E63" s="293"/>
      <c r="F63" s="534"/>
      <c r="G63" s="287">
        <f t="shared" si="7"/>
        <v>4500</v>
      </c>
      <c r="H63" s="525"/>
      <c r="I63" s="525"/>
      <c r="J63" s="525"/>
      <c r="K63" s="605"/>
      <c r="L63" s="531"/>
      <c r="M63" s="172"/>
      <c r="N63" s="172"/>
      <c r="O63" s="172"/>
      <c r="P63" s="172"/>
      <c r="Q63" s="258"/>
      <c r="R63" s="258"/>
      <c r="S63" s="31"/>
      <c r="T63" s="31"/>
      <c r="U63" s="31"/>
      <c r="V63" s="2"/>
      <c r="W63" s="2"/>
      <c r="X63" s="2"/>
    </row>
    <row r="64" spans="1:24" s="52" customFormat="1" x14ac:dyDescent="0.3">
      <c r="A64" s="260">
        <v>31</v>
      </c>
      <c r="B64" s="262">
        <v>61</v>
      </c>
      <c r="C64" s="284">
        <v>43936</v>
      </c>
      <c r="D64" s="285"/>
      <c r="E64" s="286"/>
      <c r="F64" s="532">
        <f>SUM(E64:E73)</f>
        <v>0</v>
      </c>
      <c r="G64" s="287">
        <f>H$64/10</f>
        <v>3000</v>
      </c>
      <c r="H64" s="523">
        <v>30000</v>
      </c>
      <c r="I64" s="523"/>
      <c r="J64" s="523"/>
      <c r="K64" s="526">
        <f>H64/SUM(H4+H54+H44+H34+H24+H14-I54-I44-I34-I24-J54-J44-J34-J24-I14-J14-I4-J4)</f>
        <v>0.27250926531502073</v>
      </c>
      <c r="L64" s="529">
        <f>H64*0.05</f>
        <v>1500</v>
      </c>
      <c r="M64" s="172"/>
      <c r="N64" s="172"/>
      <c r="O64" s="172"/>
      <c r="P64" s="172"/>
      <c r="Q64" s="258"/>
      <c r="R64" s="258"/>
      <c r="S64" s="31"/>
      <c r="T64" s="31"/>
      <c r="U64" s="31"/>
      <c r="V64" s="2"/>
      <c r="W64" s="2"/>
      <c r="X64" s="2"/>
    </row>
    <row r="65" spans="1:24" s="52" customFormat="1" x14ac:dyDescent="0.3">
      <c r="A65" s="260">
        <v>32</v>
      </c>
      <c r="B65" s="262">
        <v>62</v>
      </c>
      <c r="C65" s="288">
        <v>43937</v>
      </c>
      <c r="D65" s="289"/>
      <c r="E65" s="290"/>
      <c r="F65" s="533"/>
      <c r="G65" s="287">
        <f t="shared" ref="G65:G73" si="8">H$64/10</f>
        <v>3000</v>
      </c>
      <c r="H65" s="524"/>
      <c r="I65" s="524"/>
      <c r="J65" s="524"/>
      <c r="K65" s="527"/>
      <c r="L65" s="530"/>
      <c r="M65" s="172"/>
      <c r="N65" s="172"/>
      <c r="O65" s="172"/>
      <c r="P65" s="172"/>
      <c r="Q65" s="258"/>
      <c r="R65" s="258"/>
      <c r="S65" s="31"/>
      <c r="T65" s="31"/>
      <c r="U65" s="31"/>
      <c r="V65" s="2"/>
      <c r="W65" s="2"/>
      <c r="X65" s="2"/>
    </row>
    <row r="66" spans="1:24" s="52" customFormat="1" x14ac:dyDescent="0.3">
      <c r="A66" s="260">
        <v>33</v>
      </c>
      <c r="B66" s="262">
        <v>63</v>
      </c>
      <c r="C66" s="288">
        <v>43938</v>
      </c>
      <c r="D66" s="289"/>
      <c r="E66" s="290"/>
      <c r="F66" s="533"/>
      <c r="G66" s="287">
        <f t="shared" si="8"/>
        <v>3000</v>
      </c>
      <c r="H66" s="524"/>
      <c r="I66" s="524"/>
      <c r="J66" s="524"/>
      <c r="K66" s="527"/>
      <c r="L66" s="530"/>
      <c r="M66" s="172"/>
      <c r="N66" s="172"/>
      <c r="O66" s="172"/>
      <c r="P66" s="172"/>
      <c r="Q66" s="258"/>
      <c r="R66" s="258"/>
      <c r="S66" s="31"/>
      <c r="T66" s="31"/>
      <c r="U66" s="31"/>
      <c r="V66" s="2"/>
      <c r="W66" s="2"/>
      <c r="X66" s="2"/>
    </row>
    <row r="67" spans="1:24" s="52" customFormat="1" x14ac:dyDescent="0.3">
      <c r="A67" s="260">
        <v>34</v>
      </c>
      <c r="B67" s="262">
        <v>64</v>
      </c>
      <c r="C67" s="288">
        <v>43939</v>
      </c>
      <c r="D67" s="289"/>
      <c r="E67" s="290"/>
      <c r="F67" s="533"/>
      <c r="G67" s="287">
        <f t="shared" si="8"/>
        <v>3000</v>
      </c>
      <c r="H67" s="524"/>
      <c r="I67" s="524"/>
      <c r="J67" s="524"/>
      <c r="K67" s="527"/>
      <c r="L67" s="530"/>
      <c r="M67" s="172"/>
      <c r="N67" s="172"/>
      <c r="O67" s="172"/>
      <c r="P67" s="172"/>
      <c r="Q67" s="258"/>
      <c r="R67" s="258"/>
      <c r="S67" s="31"/>
      <c r="T67" s="31"/>
      <c r="U67" s="31"/>
      <c r="V67" s="2"/>
      <c r="W67" s="2"/>
      <c r="X67" s="2"/>
    </row>
    <row r="68" spans="1:24" s="52" customFormat="1" x14ac:dyDescent="0.3">
      <c r="A68" s="260">
        <v>35</v>
      </c>
      <c r="B68" s="262">
        <v>65</v>
      </c>
      <c r="C68" s="288">
        <v>43940</v>
      </c>
      <c r="D68" s="289"/>
      <c r="E68" s="290"/>
      <c r="F68" s="533"/>
      <c r="G68" s="287">
        <f t="shared" si="8"/>
        <v>3000</v>
      </c>
      <c r="H68" s="524"/>
      <c r="I68" s="524"/>
      <c r="J68" s="524"/>
      <c r="K68" s="527"/>
      <c r="L68" s="530"/>
      <c r="M68" s="172"/>
      <c r="N68" s="172"/>
      <c r="O68" s="172"/>
      <c r="P68" s="172"/>
      <c r="Q68" s="258"/>
      <c r="R68" s="258"/>
      <c r="S68" s="31"/>
      <c r="T68" s="31"/>
      <c r="U68" s="31"/>
      <c r="V68" s="2"/>
      <c r="W68" s="2"/>
      <c r="X68" s="2"/>
    </row>
    <row r="69" spans="1:24" s="52" customFormat="1" x14ac:dyDescent="0.3">
      <c r="A69" s="260">
        <v>36</v>
      </c>
      <c r="B69" s="262">
        <v>66</v>
      </c>
      <c r="C69" s="288">
        <v>43941</v>
      </c>
      <c r="D69" s="289"/>
      <c r="E69" s="290"/>
      <c r="F69" s="533"/>
      <c r="G69" s="287">
        <f t="shared" si="8"/>
        <v>3000</v>
      </c>
      <c r="H69" s="524"/>
      <c r="I69" s="524"/>
      <c r="J69" s="524"/>
      <c r="K69" s="527"/>
      <c r="L69" s="530"/>
      <c r="M69" s="172"/>
      <c r="N69" s="172"/>
      <c r="O69" s="172"/>
      <c r="P69" s="172"/>
      <c r="Q69" s="258"/>
      <c r="R69" s="258"/>
      <c r="S69" s="31"/>
      <c r="T69" s="31"/>
      <c r="U69" s="31"/>
      <c r="V69" s="2"/>
      <c r="W69" s="2"/>
      <c r="X69" s="2"/>
    </row>
    <row r="70" spans="1:24" s="52" customFormat="1" x14ac:dyDescent="0.3">
      <c r="A70" s="260">
        <v>37</v>
      </c>
      <c r="B70" s="262">
        <v>67</v>
      </c>
      <c r="C70" s="288">
        <v>43942</v>
      </c>
      <c r="D70" s="289"/>
      <c r="E70" s="290"/>
      <c r="F70" s="533"/>
      <c r="G70" s="287">
        <f t="shared" si="8"/>
        <v>3000</v>
      </c>
      <c r="H70" s="524"/>
      <c r="I70" s="524"/>
      <c r="J70" s="524"/>
      <c r="K70" s="527"/>
      <c r="L70" s="530"/>
      <c r="M70" s="172"/>
      <c r="N70" s="172"/>
      <c r="O70" s="172"/>
      <c r="P70" s="172"/>
      <c r="Q70" s="258"/>
      <c r="R70" s="258"/>
      <c r="S70" s="31"/>
      <c r="T70" s="31"/>
      <c r="U70" s="31"/>
      <c r="V70" s="2"/>
      <c r="W70" s="2"/>
      <c r="X70" s="2"/>
    </row>
    <row r="71" spans="1:24" s="52" customFormat="1" x14ac:dyDescent="0.3">
      <c r="A71" s="260">
        <v>38</v>
      </c>
      <c r="B71" s="262">
        <v>68</v>
      </c>
      <c r="C71" s="288">
        <v>43943</v>
      </c>
      <c r="D71" s="289"/>
      <c r="E71" s="290"/>
      <c r="F71" s="533"/>
      <c r="G71" s="287">
        <f t="shared" si="8"/>
        <v>3000</v>
      </c>
      <c r="H71" s="524"/>
      <c r="I71" s="524"/>
      <c r="J71" s="524"/>
      <c r="K71" s="527"/>
      <c r="L71" s="530"/>
      <c r="M71" s="172"/>
      <c r="N71" s="172"/>
      <c r="O71" s="172"/>
      <c r="P71" s="172"/>
      <c r="Q71" s="258"/>
      <c r="R71" s="258"/>
      <c r="S71" s="31"/>
      <c r="T71" s="31"/>
      <c r="U71" s="31"/>
      <c r="V71" s="2"/>
      <c r="W71" s="2"/>
      <c r="X71" s="2"/>
    </row>
    <row r="72" spans="1:24" s="52" customFormat="1" x14ac:dyDescent="0.3">
      <c r="A72" s="260">
        <v>39</v>
      </c>
      <c r="B72" s="262">
        <v>69</v>
      </c>
      <c r="C72" s="288">
        <v>43944</v>
      </c>
      <c r="D72" s="289"/>
      <c r="E72" s="290"/>
      <c r="F72" s="533"/>
      <c r="G72" s="287">
        <f t="shared" si="8"/>
        <v>3000</v>
      </c>
      <c r="H72" s="524"/>
      <c r="I72" s="524"/>
      <c r="J72" s="524"/>
      <c r="K72" s="527"/>
      <c r="L72" s="530"/>
      <c r="M72" s="172"/>
      <c r="N72" s="172"/>
      <c r="O72" s="172"/>
      <c r="P72" s="172"/>
      <c r="Q72" s="258"/>
      <c r="R72" s="258"/>
      <c r="S72" s="31"/>
      <c r="T72" s="31"/>
      <c r="U72" s="31"/>
      <c r="V72" s="2"/>
      <c r="W72" s="2"/>
      <c r="X72" s="2"/>
    </row>
    <row r="73" spans="1:24" s="52" customFormat="1" ht="19.5" thickBot="1" x14ac:dyDescent="0.35">
      <c r="A73" s="260">
        <v>40</v>
      </c>
      <c r="B73" s="263">
        <v>70</v>
      </c>
      <c r="C73" s="291">
        <v>43945</v>
      </c>
      <c r="D73" s="292"/>
      <c r="E73" s="293"/>
      <c r="F73" s="534"/>
      <c r="G73" s="287">
        <f t="shared" si="8"/>
        <v>3000</v>
      </c>
      <c r="H73" s="525"/>
      <c r="I73" s="525"/>
      <c r="J73" s="525"/>
      <c r="K73" s="528"/>
      <c r="L73" s="531"/>
      <c r="M73" s="172"/>
      <c r="N73" s="172"/>
      <c r="O73" s="172"/>
      <c r="P73" s="172"/>
      <c r="Q73" s="258"/>
      <c r="R73" s="258"/>
      <c r="S73" s="31"/>
      <c r="T73" s="31"/>
      <c r="U73" s="31"/>
      <c r="V73" s="2"/>
      <c r="W73" s="2"/>
      <c r="X73" s="2"/>
    </row>
    <row r="74" spans="1:24" s="52" customFormat="1" x14ac:dyDescent="0.3">
      <c r="A74" s="260">
        <v>41</v>
      </c>
      <c r="B74" s="297">
        <v>71</v>
      </c>
      <c r="C74" s="288">
        <v>43946</v>
      </c>
      <c r="D74" s="298"/>
      <c r="E74" s="299"/>
      <c r="F74" s="532">
        <f>SUM(E74:E83)</f>
        <v>0</v>
      </c>
      <c r="G74" s="287">
        <f>H$74/10</f>
        <v>2500</v>
      </c>
      <c r="H74" s="523">
        <v>25000</v>
      </c>
      <c r="I74" s="523"/>
      <c r="J74" s="523"/>
      <c r="K74" s="526">
        <f>H74/SUM(H4+H14+H64+H54+H44+H34+H24-I64-I54-I44-I34-J64-J54-J44-J34-I24-J24-I14-J14-I4-J4)</f>
        <v>0.17845925418308492</v>
      </c>
      <c r="L74" s="523">
        <f>H74*0.05</f>
        <v>1250</v>
      </c>
      <c r="M74" s="172"/>
      <c r="N74" s="172"/>
      <c r="O74" s="172"/>
      <c r="P74" s="172"/>
      <c r="Q74" s="258"/>
      <c r="R74" s="258"/>
      <c r="S74" s="31"/>
      <c r="T74" s="31"/>
      <c r="U74" s="31"/>
      <c r="V74" s="2"/>
      <c r="W74" s="2"/>
      <c r="X74" s="2"/>
    </row>
    <row r="75" spans="1:24" s="52" customFormat="1" x14ac:dyDescent="0.3">
      <c r="A75" s="260">
        <v>42</v>
      </c>
      <c r="B75" s="262">
        <v>72</v>
      </c>
      <c r="C75" s="288">
        <v>43947</v>
      </c>
      <c r="D75" s="289"/>
      <c r="E75" s="290"/>
      <c r="F75" s="533"/>
      <c r="G75" s="287">
        <f t="shared" ref="G75:G83" si="9">H$74/10</f>
        <v>2500</v>
      </c>
      <c r="H75" s="524"/>
      <c r="I75" s="524"/>
      <c r="J75" s="524"/>
      <c r="K75" s="527"/>
      <c r="L75" s="524"/>
      <c r="M75" s="172"/>
      <c r="N75" s="172"/>
      <c r="O75" s="172"/>
      <c r="P75" s="172"/>
      <c r="Q75" s="258"/>
      <c r="R75" s="258"/>
      <c r="S75" s="31"/>
      <c r="T75" s="31"/>
      <c r="U75" s="31"/>
      <c r="V75" s="2"/>
      <c r="W75" s="2"/>
      <c r="X75" s="2"/>
    </row>
    <row r="76" spans="1:24" s="52" customFormat="1" x14ac:dyDescent="0.3">
      <c r="A76" s="260">
        <v>43</v>
      </c>
      <c r="B76" s="262">
        <v>73</v>
      </c>
      <c r="C76" s="288">
        <v>43948</v>
      </c>
      <c r="D76" s="289"/>
      <c r="E76" s="290"/>
      <c r="F76" s="533"/>
      <c r="G76" s="287">
        <f t="shared" si="9"/>
        <v>2500</v>
      </c>
      <c r="H76" s="524"/>
      <c r="I76" s="524"/>
      <c r="J76" s="524"/>
      <c r="K76" s="527"/>
      <c r="L76" s="524"/>
      <c r="M76" s="172"/>
      <c r="N76" s="172"/>
      <c r="O76" s="172"/>
      <c r="P76" s="172"/>
      <c r="Q76" s="258"/>
      <c r="R76" s="258"/>
      <c r="S76" s="31"/>
      <c r="T76" s="31"/>
      <c r="U76" s="31"/>
      <c r="V76" s="2"/>
      <c r="W76" s="2"/>
      <c r="X76" s="2"/>
    </row>
    <row r="77" spans="1:24" s="52" customFormat="1" x14ac:dyDescent="0.3">
      <c r="A77" s="260">
        <v>44</v>
      </c>
      <c r="B77" s="262">
        <v>74</v>
      </c>
      <c r="C77" s="288">
        <v>43949</v>
      </c>
      <c r="D77" s="289"/>
      <c r="E77" s="290"/>
      <c r="F77" s="533"/>
      <c r="G77" s="287">
        <f t="shared" si="9"/>
        <v>2500</v>
      </c>
      <c r="H77" s="524"/>
      <c r="I77" s="524"/>
      <c r="J77" s="524"/>
      <c r="K77" s="527"/>
      <c r="L77" s="524"/>
      <c r="M77" s="172"/>
      <c r="N77" s="172"/>
      <c r="O77" s="172"/>
      <c r="P77" s="172"/>
      <c r="Q77" s="258"/>
      <c r="R77" s="258"/>
      <c r="S77" s="31"/>
      <c r="T77" s="31"/>
      <c r="U77" s="31"/>
      <c r="V77" s="2"/>
      <c r="W77" s="2"/>
      <c r="X77" s="2"/>
    </row>
    <row r="78" spans="1:24" s="52" customFormat="1" x14ac:dyDescent="0.3">
      <c r="A78" s="260">
        <v>45</v>
      </c>
      <c r="B78" s="262">
        <v>75</v>
      </c>
      <c r="C78" s="288">
        <v>43950</v>
      </c>
      <c r="D78" s="289"/>
      <c r="E78" s="290"/>
      <c r="F78" s="533"/>
      <c r="G78" s="287">
        <f t="shared" si="9"/>
        <v>2500</v>
      </c>
      <c r="H78" s="524"/>
      <c r="I78" s="524"/>
      <c r="J78" s="524"/>
      <c r="K78" s="527"/>
      <c r="L78" s="524"/>
      <c r="M78" s="172"/>
      <c r="N78" s="172"/>
      <c r="O78" s="172"/>
      <c r="P78" s="172"/>
      <c r="Q78" s="258"/>
      <c r="R78" s="258"/>
      <c r="S78" s="31"/>
      <c r="T78" s="31"/>
      <c r="U78" s="31"/>
      <c r="V78" s="2"/>
      <c r="W78" s="2"/>
      <c r="X78" s="2"/>
    </row>
    <row r="79" spans="1:24" s="52" customFormat="1" x14ac:dyDescent="0.3">
      <c r="A79" s="260">
        <v>46</v>
      </c>
      <c r="B79" s="262">
        <v>76</v>
      </c>
      <c r="C79" s="288">
        <v>43951</v>
      </c>
      <c r="D79" s="289"/>
      <c r="E79" s="290"/>
      <c r="F79" s="533"/>
      <c r="G79" s="287">
        <f t="shared" si="9"/>
        <v>2500</v>
      </c>
      <c r="H79" s="524"/>
      <c r="I79" s="524"/>
      <c r="J79" s="524"/>
      <c r="K79" s="527"/>
      <c r="L79" s="524"/>
      <c r="M79" s="172"/>
      <c r="N79" s="172"/>
      <c r="O79" s="172"/>
      <c r="P79" s="172"/>
      <c r="Q79" s="258"/>
      <c r="R79" s="258"/>
      <c r="S79" s="31"/>
      <c r="T79" s="31"/>
      <c r="U79" s="31"/>
      <c r="V79" s="2"/>
      <c r="W79" s="2"/>
      <c r="X79" s="2"/>
    </row>
    <row r="80" spans="1:24" s="52" customFormat="1" x14ac:dyDescent="0.3">
      <c r="A80" s="260">
        <v>47</v>
      </c>
      <c r="B80" s="262">
        <v>77</v>
      </c>
      <c r="C80" s="288">
        <v>43952</v>
      </c>
      <c r="D80" s="289"/>
      <c r="E80" s="290"/>
      <c r="F80" s="533"/>
      <c r="G80" s="287">
        <f t="shared" si="9"/>
        <v>2500</v>
      </c>
      <c r="H80" s="524"/>
      <c r="I80" s="524"/>
      <c r="J80" s="524"/>
      <c r="K80" s="527"/>
      <c r="L80" s="524"/>
      <c r="M80" s="172"/>
      <c r="N80" s="172"/>
      <c r="O80" s="172"/>
      <c r="P80" s="172"/>
      <c r="Q80" s="258"/>
      <c r="R80" s="258"/>
      <c r="S80" s="31"/>
      <c r="T80" s="31"/>
      <c r="U80" s="31"/>
      <c r="V80" s="2"/>
      <c r="W80" s="2"/>
      <c r="X80" s="2"/>
    </row>
    <row r="81" spans="1:24" s="52" customFormat="1" x14ac:dyDescent="0.3">
      <c r="A81" s="260">
        <v>48</v>
      </c>
      <c r="B81" s="262">
        <v>78</v>
      </c>
      <c r="C81" s="288">
        <v>43953</v>
      </c>
      <c r="D81" s="289"/>
      <c r="E81" s="290"/>
      <c r="F81" s="533"/>
      <c r="G81" s="287">
        <f t="shared" si="9"/>
        <v>2500</v>
      </c>
      <c r="H81" s="524"/>
      <c r="I81" s="524"/>
      <c r="J81" s="524"/>
      <c r="K81" s="527"/>
      <c r="L81" s="524"/>
      <c r="M81" s="172"/>
      <c r="N81" s="172"/>
      <c r="O81" s="172"/>
      <c r="P81" s="172"/>
      <c r="Q81" s="258"/>
      <c r="R81" s="258"/>
      <c r="S81" s="31"/>
      <c r="T81" s="31"/>
      <c r="U81" s="31"/>
      <c r="V81" s="2"/>
      <c r="W81" s="2"/>
      <c r="X81" s="2"/>
    </row>
    <row r="82" spans="1:24" s="52" customFormat="1" x14ac:dyDescent="0.3">
      <c r="A82" s="260">
        <v>49</v>
      </c>
      <c r="B82" s="262">
        <v>79</v>
      </c>
      <c r="C82" s="288">
        <v>43954</v>
      </c>
      <c r="D82" s="289"/>
      <c r="E82" s="290"/>
      <c r="F82" s="533"/>
      <c r="G82" s="287">
        <f t="shared" si="9"/>
        <v>2500</v>
      </c>
      <c r="H82" s="524"/>
      <c r="I82" s="524"/>
      <c r="J82" s="524"/>
      <c r="K82" s="527"/>
      <c r="L82" s="524"/>
      <c r="M82" s="172"/>
      <c r="N82" s="172"/>
      <c r="O82" s="172"/>
      <c r="P82" s="172"/>
      <c r="Q82" s="258"/>
      <c r="R82" s="258"/>
      <c r="S82" s="31"/>
      <c r="T82" s="31"/>
      <c r="U82" s="31"/>
      <c r="V82" s="2"/>
      <c r="W82" s="2"/>
      <c r="X82" s="2"/>
    </row>
    <row r="83" spans="1:24" s="52" customFormat="1" ht="19.5" thickBot="1" x14ac:dyDescent="0.35">
      <c r="A83" s="260">
        <v>50</v>
      </c>
      <c r="B83" s="300">
        <v>80</v>
      </c>
      <c r="C83" s="301">
        <v>43955</v>
      </c>
      <c r="D83" s="302"/>
      <c r="E83" s="303"/>
      <c r="F83" s="534"/>
      <c r="G83" s="287">
        <f t="shared" si="9"/>
        <v>2500</v>
      </c>
      <c r="H83" s="525"/>
      <c r="I83" s="525"/>
      <c r="J83" s="525"/>
      <c r="K83" s="528"/>
      <c r="L83" s="525"/>
      <c r="M83" s="172"/>
      <c r="N83" s="172"/>
      <c r="O83" s="172"/>
      <c r="P83" s="172"/>
      <c r="Q83" s="258"/>
      <c r="R83" s="258"/>
      <c r="S83" s="31"/>
      <c r="T83" s="31"/>
      <c r="U83" s="31"/>
      <c r="V83" s="2"/>
      <c r="W83" s="2"/>
      <c r="X83" s="2"/>
    </row>
    <row r="84" spans="1:24" s="52" customFormat="1" x14ac:dyDescent="0.3">
      <c r="A84" s="260">
        <v>51</v>
      </c>
      <c r="B84" s="261">
        <v>81</v>
      </c>
      <c r="C84" s="284">
        <v>43956</v>
      </c>
      <c r="D84" s="285"/>
      <c r="E84" s="286"/>
      <c r="F84" s="532">
        <f>SUM(E84:E93)</f>
        <v>0</v>
      </c>
      <c r="G84" s="287">
        <f>H$84/10</f>
        <v>2000</v>
      </c>
      <c r="H84" s="523">
        <v>20000</v>
      </c>
      <c r="I84" s="523"/>
      <c r="J84" s="523"/>
      <c r="K84" s="526">
        <f>H84/SUM(H4+H14+H24+H74+H64+H54+H44+H34-I74-I64-I54-I44-J74-J64-J54-J44-I34-J34-I24-J24-I14-J14-I4-J4)</f>
        <v>0.12114750920721069</v>
      </c>
      <c r="L84" s="523">
        <f>H84*0.05</f>
        <v>1000</v>
      </c>
      <c r="M84" s="172"/>
      <c r="N84" s="172"/>
      <c r="O84" s="172"/>
      <c r="P84" s="172"/>
      <c r="Q84" s="258"/>
      <c r="R84" s="258"/>
      <c r="S84" s="31"/>
      <c r="T84" s="31"/>
      <c r="U84" s="31"/>
      <c r="V84" s="2"/>
      <c r="W84" s="2"/>
      <c r="X84" s="2"/>
    </row>
    <row r="85" spans="1:24" s="52" customFormat="1" x14ac:dyDescent="0.3">
      <c r="A85" s="260">
        <v>52</v>
      </c>
      <c r="B85" s="262">
        <v>82</v>
      </c>
      <c r="C85" s="288">
        <v>43957</v>
      </c>
      <c r="D85" s="289"/>
      <c r="E85" s="290"/>
      <c r="F85" s="533"/>
      <c r="G85" s="287">
        <f t="shared" ref="G85:G93" si="10">H$84/10</f>
        <v>2000</v>
      </c>
      <c r="H85" s="524"/>
      <c r="I85" s="524"/>
      <c r="J85" s="524"/>
      <c r="K85" s="527"/>
      <c r="L85" s="524"/>
      <c r="M85" s="172"/>
      <c r="N85" s="172"/>
      <c r="O85" s="172"/>
      <c r="P85" s="172"/>
      <c r="Q85" s="258"/>
      <c r="R85" s="258"/>
      <c r="S85" s="31"/>
      <c r="T85" s="31"/>
      <c r="U85" s="31"/>
      <c r="V85" s="2"/>
      <c r="W85" s="2"/>
      <c r="X85" s="2"/>
    </row>
    <row r="86" spans="1:24" s="52" customFormat="1" x14ac:dyDescent="0.3">
      <c r="A86" s="260">
        <v>53</v>
      </c>
      <c r="B86" s="262">
        <v>83</v>
      </c>
      <c r="C86" s="288">
        <v>43958</v>
      </c>
      <c r="D86" s="289"/>
      <c r="E86" s="290"/>
      <c r="F86" s="533"/>
      <c r="G86" s="287">
        <f t="shared" si="10"/>
        <v>2000</v>
      </c>
      <c r="H86" s="524"/>
      <c r="I86" s="524"/>
      <c r="J86" s="524"/>
      <c r="K86" s="527"/>
      <c r="L86" s="524"/>
      <c r="M86" s="172"/>
      <c r="N86" s="172"/>
      <c r="O86" s="172"/>
      <c r="P86" s="172"/>
      <c r="Q86" s="258"/>
      <c r="R86" s="258"/>
      <c r="S86" s="31"/>
      <c r="T86" s="31"/>
      <c r="U86" s="31"/>
      <c r="V86" s="2"/>
      <c r="W86" s="2"/>
      <c r="X86" s="2"/>
    </row>
    <row r="87" spans="1:24" s="52" customFormat="1" x14ac:dyDescent="0.3">
      <c r="A87" s="260">
        <v>54</v>
      </c>
      <c r="B87" s="262">
        <v>84</v>
      </c>
      <c r="C87" s="288">
        <v>43959</v>
      </c>
      <c r="D87" s="289"/>
      <c r="E87" s="290"/>
      <c r="F87" s="533"/>
      <c r="G87" s="287">
        <f t="shared" si="10"/>
        <v>2000</v>
      </c>
      <c r="H87" s="524"/>
      <c r="I87" s="524"/>
      <c r="J87" s="524"/>
      <c r="K87" s="527"/>
      <c r="L87" s="524"/>
      <c r="M87" s="172"/>
      <c r="N87" s="172"/>
      <c r="O87" s="172"/>
      <c r="P87" s="172"/>
      <c r="Q87" s="258"/>
      <c r="R87" s="258"/>
      <c r="S87" s="31"/>
      <c r="T87" s="31"/>
      <c r="U87" s="31"/>
      <c r="V87" s="2"/>
      <c r="W87" s="2"/>
      <c r="X87" s="2"/>
    </row>
    <row r="88" spans="1:24" s="52" customFormat="1" ht="23.25" customHeight="1" x14ac:dyDescent="0.3">
      <c r="A88" s="260">
        <v>55</v>
      </c>
      <c r="B88" s="262">
        <v>85</v>
      </c>
      <c r="C88" s="288">
        <v>43960</v>
      </c>
      <c r="D88" s="289"/>
      <c r="E88" s="290"/>
      <c r="F88" s="533"/>
      <c r="G88" s="287">
        <f t="shared" si="10"/>
        <v>2000</v>
      </c>
      <c r="H88" s="524"/>
      <c r="I88" s="524"/>
      <c r="J88" s="524"/>
      <c r="K88" s="527"/>
      <c r="L88" s="524"/>
      <c r="M88" s="172"/>
      <c r="N88" s="172"/>
      <c r="O88" s="172"/>
      <c r="P88" s="172"/>
      <c r="Q88" s="258"/>
      <c r="R88" s="258"/>
      <c r="S88" s="31"/>
      <c r="T88" s="31"/>
      <c r="U88" s="31"/>
      <c r="V88" s="2"/>
      <c r="W88" s="2"/>
      <c r="X88" s="2"/>
    </row>
    <row r="89" spans="1:24" s="52" customFormat="1" x14ac:dyDescent="0.3">
      <c r="A89" s="260">
        <v>56</v>
      </c>
      <c r="B89" s="262">
        <v>86</v>
      </c>
      <c r="C89" s="288">
        <v>43961</v>
      </c>
      <c r="D89" s="289"/>
      <c r="E89" s="290"/>
      <c r="F89" s="533"/>
      <c r="G89" s="287">
        <f t="shared" si="10"/>
        <v>2000</v>
      </c>
      <c r="H89" s="524"/>
      <c r="I89" s="524"/>
      <c r="J89" s="524"/>
      <c r="K89" s="527"/>
      <c r="L89" s="524"/>
      <c r="M89" s="172"/>
      <c r="N89" s="172"/>
      <c r="O89" s="172"/>
      <c r="P89" s="172"/>
      <c r="Q89" s="258"/>
      <c r="R89" s="258"/>
      <c r="S89" s="31"/>
      <c r="T89" s="31"/>
      <c r="U89" s="31"/>
      <c r="V89" s="2"/>
      <c r="W89" s="2"/>
      <c r="X89" s="2"/>
    </row>
    <row r="90" spans="1:24" s="52" customFormat="1" x14ac:dyDescent="0.3">
      <c r="A90" s="260">
        <v>57</v>
      </c>
      <c r="B90" s="262">
        <v>87</v>
      </c>
      <c r="C90" s="288">
        <v>43962</v>
      </c>
      <c r="D90" s="289"/>
      <c r="E90" s="290"/>
      <c r="F90" s="533"/>
      <c r="G90" s="287">
        <f t="shared" si="10"/>
        <v>2000</v>
      </c>
      <c r="H90" s="524"/>
      <c r="I90" s="524"/>
      <c r="J90" s="524"/>
      <c r="K90" s="527"/>
      <c r="L90" s="524"/>
      <c r="M90" s="172"/>
      <c r="N90" s="172"/>
      <c r="O90" s="172"/>
      <c r="P90" s="172"/>
      <c r="Q90" s="258"/>
      <c r="R90" s="258"/>
      <c r="S90" s="31"/>
      <c r="T90" s="31"/>
      <c r="U90" s="31"/>
      <c r="V90" s="2"/>
      <c r="W90" s="2"/>
      <c r="X90" s="2"/>
    </row>
    <row r="91" spans="1:24" s="52" customFormat="1" x14ac:dyDescent="0.3">
      <c r="A91" s="260">
        <v>58</v>
      </c>
      <c r="B91" s="262">
        <v>88</v>
      </c>
      <c r="C91" s="288">
        <v>43963</v>
      </c>
      <c r="D91" s="289"/>
      <c r="E91" s="290"/>
      <c r="F91" s="533"/>
      <c r="G91" s="287">
        <f t="shared" si="10"/>
        <v>2000</v>
      </c>
      <c r="H91" s="524"/>
      <c r="I91" s="524"/>
      <c r="J91" s="524"/>
      <c r="K91" s="527"/>
      <c r="L91" s="524"/>
      <c r="M91" s="172"/>
      <c r="N91" s="172"/>
      <c r="O91" s="172"/>
      <c r="P91" s="172"/>
      <c r="Q91" s="258"/>
      <c r="R91" s="258"/>
      <c r="S91" s="31"/>
      <c r="T91" s="31"/>
      <c r="U91" s="31"/>
      <c r="V91" s="2"/>
      <c r="W91" s="2"/>
      <c r="X91" s="2"/>
    </row>
    <row r="92" spans="1:24" s="52" customFormat="1" x14ac:dyDescent="0.3">
      <c r="A92" s="260">
        <v>59</v>
      </c>
      <c r="B92" s="262">
        <v>89</v>
      </c>
      <c r="C92" s="288">
        <v>43964</v>
      </c>
      <c r="D92" s="289"/>
      <c r="E92" s="290"/>
      <c r="F92" s="533"/>
      <c r="G92" s="287">
        <f t="shared" si="10"/>
        <v>2000</v>
      </c>
      <c r="H92" s="524"/>
      <c r="I92" s="524"/>
      <c r="J92" s="524"/>
      <c r="K92" s="527"/>
      <c r="L92" s="524"/>
      <c r="M92" s="172"/>
      <c r="N92" s="172"/>
      <c r="O92" s="172"/>
      <c r="P92" s="172"/>
      <c r="Q92" s="258"/>
      <c r="R92" s="258"/>
      <c r="S92" s="31"/>
      <c r="T92" s="31"/>
      <c r="U92" s="31"/>
      <c r="V92" s="2"/>
      <c r="W92" s="2"/>
      <c r="X92" s="2"/>
    </row>
    <row r="93" spans="1:24" s="52" customFormat="1" ht="19.5" thickBot="1" x14ac:dyDescent="0.35">
      <c r="A93" s="260">
        <v>60</v>
      </c>
      <c r="B93" s="263">
        <v>90</v>
      </c>
      <c r="C93" s="291">
        <v>43965</v>
      </c>
      <c r="D93" s="292"/>
      <c r="E93" s="293"/>
      <c r="F93" s="534"/>
      <c r="G93" s="287">
        <f t="shared" si="10"/>
        <v>2000</v>
      </c>
      <c r="H93" s="525"/>
      <c r="I93" s="525"/>
      <c r="J93" s="525"/>
      <c r="K93" s="528"/>
      <c r="L93" s="525"/>
      <c r="M93" s="172"/>
      <c r="N93" s="172"/>
      <c r="O93" s="172"/>
      <c r="P93" s="172"/>
      <c r="Q93" s="258"/>
      <c r="R93" s="258"/>
      <c r="S93" s="31"/>
      <c r="T93" s="31"/>
      <c r="U93" s="31"/>
      <c r="V93" s="2"/>
      <c r="W93" s="2"/>
      <c r="X93" s="2"/>
    </row>
    <row r="94" spans="1:24" s="52" customFormat="1" x14ac:dyDescent="0.3">
      <c r="A94" s="260">
        <v>61</v>
      </c>
      <c r="B94" s="297">
        <v>91</v>
      </c>
      <c r="C94" s="288">
        <v>43966</v>
      </c>
      <c r="D94" s="298"/>
      <c r="E94" s="299"/>
      <c r="F94" s="532">
        <f>SUM(E94:E103)</f>
        <v>0</v>
      </c>
      <c r="G94" s="287">
        <f>H$94/10</f>
        <v>1500</v>
      </c>
      <c r="H94" s="523">
        <v>15000</v>
      </c>
      <c r="I94" s="523"/>
      <c r="J94" s="523"/>
      <c r="K94" s="526">
        <f>H94/SUM(H4+H14+H24+H34+H84+H74+H64+H54+H44-I84-I74-I64-I54-J84-J74-J64-J54-I44-J44-I34-J34-I24-J24-I14-J14-I4-J4)</f>
        <v>8.1042531120331954E-2</v>
      </c>
      <c r="L94" s="523">
        <f>H94*0.05</f>
        <v>750</v>
      </c>
      <c r="M94" s="172"/>
      <c r="N94" s="172"/>
      <c r="O94" s="172"/>
      <c r="P94" s="172"/>
      <c r="Q94" s="258"/>
      <c r="R94" s="258"/>
      <c r="S94" s="31"/>
      <c r="T94" s="31"/>
      <c r="U94" s="31"/>
      <c r="V94" s="2"/>
      <c r="W94" s="2"/>
      <c r="X94" s="2"/>
    </row>
    <row r="95" spans="1:24" s="52" customFormat="1" x14ac:dyDescent="0.3">
      <c r="A95" s="260">
        <v>62</v>
      </c>
      <c r="B95" s="262">
        <v>92</v>
      </c>
      <c r="C95" s="288">
        <v>43967</v>
      </c>
      <c r="D95" s="289"/>
      <c r="E95" s="290"/>
      <c r="F95" s="533"/>
      <c r="G95" s="287">
        <f t="shared" ref="G95:G103" si="11">H$94/10</f>
        <v>1500</v>
      </c>
      <c r="H95" s="524"/>
      <c r="I95" s="524"/>
      <c r="J95" s="524"/>
      <c r="K95" s="527"/>
      <c r="L95" s="524"/>
      <c r="M95" s="172"/>
      <c r="N95" s="172"/>
      <c r="O95" s="172"/>
      <c r="P95" s="172"/>
      <c r="Q95" s="258"/>
      <c r="R95" s="258"/>
      <c r="S95" s="31"/>
      <c r="T95" s="31"/>
      <c r="U95" s="31"/>
      <c r="V95" s="2"/>
      <c r="W95" s="2"/>
      <c r="X95" s="2"/>
    </row>
    <row r="96" spans="1:24" s="52" customFormat="1" x14ac:dyDescent="0.3">
      <c r="A96" s="260">
        <v>63</v>
      </c>
      <c r="B96" s="262">
        <v>93</v>
      </c>
      <c r="C96" s="288">
        <v>43968</v>
      </c>
      <c r="D96" s="289"/>
      <c r="E96" s="290"/>
      <c r="F96" s="533"/>
      <c r="G96" s="287">
        <f t="shared" si="11"/>
        <v>1500</v>
      </c>
      <c r="H96" s="524"/>
      <c r="I96" s="524"/>
      <c r="J96" s="524"/>
      <c r="K96" s="527"/>
      <c r="L96" s="524"/>
      <c r="M96" s="172"/>
      <c r="N96" s="172"/>
      <c r="O96" s="172"/>
      <c r="P96" s="172"/>
      <c r="Q96" s="258"/>
      <c r="R96" s="258"/>
      <c r="S96" s="31"/>
      <c r="T96" s="31"/>
      <c r="U96" s="31"/>
      <c r="V96" s="2"/>
      <c r="W96" s="2"/>
      <c r="X96" s="2"/>
    </row>
    <row r="97" spans="1:24" s="52" customFormat="1" x14ac:dyDescent="0.3">
      <c r="A97" s="260">
        <v>64</v>
      </c>
      <c r="B97" s="262">
        <v>94</v>
      </c>
      <c r="C97" s="288">
        <v>43969</v>
      </c>
      <c r="D97" s="289"/>
      <c r="E97" s="290"/>
      <c r="F97" s="533"/>
      <c r="G97" s="287">
        <f t="shared" si="11"/>
        <v>1500</v>
      </c>
      <c r="H97" s="524"/>
      <c r="I97" s="524"/>
      <c r="J97" s="524"/>
      <c r="K97" s="527"/>
      <c r="L97" s="524"/>
      <c r="M97" s="172"/>
      <c r="N97" s="172"/>
      <c r="O97" s="172"/>
      <c r="P97" s="172"/>
      <c r="Q97" s="258"/>
      <c r="R97" s="258"/>
      <c r="S97" s="31"/>
      <c r="T97" s="31"/>
      <c r="U97" s="31"/>
      <c r="V97" s="2"/>
      <c r="W97" s="2"/>
      <c r="X97" s="2"/>
    </row>
    <row r="98" spans="1:24" s="52" customFormat="1" x14ac:dyDescent="0.3">
      <c r="A98" s="260">
        <v>65</v>
      </c>
      <c r="B98" s="215">
        <v>95</v>
      </c>
      <c r="C98" s="288">
        <v>43970</v>
      </c>
      <c r="D98" s="289"/>
      <c r="E98" s="290"/>
      <c r="F98" s="533"/>
      <c r="G98" s="287">
        <f t="shared" si="11"/>
        <v>1500</v>
      </c>
      <c r="H98" s="524"/>
      <c r="I98" s="524"/>
      <c r="J98" s="524"/>
      <c r="K98" s="527"/>
      <c r="L98" s="524"/>
      <c r="M98" s="172"/>
      <c r="N98" s="172"/>
      <c r="O98" s="172"/>
      <c r="P98" s="172"/>
      <c r="Q98" s="258"/>
      <c r="R98" s="258"/>
      <c r="S98" s="31"/>
      <c r="T98" s="31"/>
      <c r="U98" s="31"/>
      <c r="V98" s="2"/>
      <c r="W98" s="2"/>
      <c r="X98" s="2"/>
    </row>
    <row r="99" spans="1:24" s="52" customFormat="1" x14ac:dyDescent="0.3">
      <c r="A99" s="260">
        <v>66</v>
      </c>
      <c r="B99" s="262">
        <v>96</v>
      </c>
      <c r="C99" s="288">
        <v>43971</v>
      </c>
      <c r="D99" s="289"/>
      <c r="E99" s="290"/>
      <c r="F99" s="533"/>
      <c r="G99" s="287">
        <f t="shared" si="11"/>
        <v>1500</v>
      </c>
      <c r="H99" s="524"/>
      <c r="I99" s="524"/>
      <c r="J99" s="524"/>
      <c r="K99" s="527"/>
      <c r="L99" s="524"/>
      <c r="M99" s="172"/>
      <c r="N99" s="172"/>
      <c r="O99" s="172"/>
      <c r="P99" s="172"/>
      <c r="Q99" s="258"/>
      <c r="R99" s="258"/>
      <c r="S99" s="31"/>
      <c r="T99" s="31"/>
      <c r="U99" s="31"/>
      <c r="V99" s="2"/>
      <c r="W99" s="2"/>
      <c r="X99" s="2"/>
    </row>
    <row r="100" spans="1:24" s="52" customFormat="1" x14ac:dyDescent="0.3">
      <c r="A100" s="260">
        <v>67</v>
      </c>
      <c r="B100" s="262">
        <v>97</v>
      </c>
      <c r="C100" s="288">
        <v>43972</v>
      </c>
      <c r="D100" s="289"/>
      <c r="E100" s="290"/>
      <c r="F100" s="533"/>
      <c r="G100" s="287">
        <f t="shared" si="11"/>
        <v>1500</v>
      </c>
      <c r="H100" s="524"/>
      <c r="I100" s="524"/>
      <c r="J100" s="524"/>
      <c r="K100" s="527"/>
      <c r="L100" s="524"/>
      <c r="M100" s="172"/>
      <c r="N100" s="172"/>
      <c r="O100" s="172"/>
      <c r="P100" s="172"/>
      <c r="Q100" s="258"/>
      <c r="R100" s="258"/>
      <c r="S100" s="31"/>
      <c r="T100" s="31"/>
      <c r="U100" s="31"/>
      <c r="V100" s="2"/>
      <c r="W100" s="2"/>
      <c r="X100" s="2"/>
    </row>
    <row r="101" spans="1:24" s="52" customFormat="1" x14ac:dyDescent="0.3">
      <c r="A101" s="260">
        <v>68</v>
      </c>
      <c r="B101" s="262">
        <v>98</v>
      </c>
      <c r="C101" s="288">
        <v>43973</v>
      </c>
      <c r="D101" s="289"/>
      <c r="E101" s="290"/>
      <c r="F101" s="533"/>
      <c r="G101" s="287">
        <f t="shared" si="11"/>
        <v>1500</v>
      </c>
      <c r="H101" s="524"/>
      <c r="I101" s="524"/>
      <c r="J101" s="524"/>
      <c r="K101" s="527"/>
      <c r="L101" s="524"/>
      <c r="M101" s="172"/>
      <c r="N101" s="172"/>
      <c r="O101" s="172"/>
      <c r="P101" s="172"/>
      <c r="Q101" s="258"/>
      <c r="R101" s="258"/>
      <c r="S101" s="31"/>
      <c r="T101" s="31"/>
      <c r="U101" s="31"/>
      <c r="V101" s="2"/>
      <c r="W101" s="2"/>
      <c r="X101" s="2"/>
    </row>
    <row r="102" spans="1:24" s="52" customFormat="1" x14ac:dyDescent="0.3">
      <c r="A102" s="260">
        <v>69</v>
      </c>
      <c r="B102" s="262">
        <v>99</v>
      </c>
      <c r="C102" s="288">
        <v>43974</v>
      </c>
      <c r="D102" s="289"/>
      <c r="E102" s="290"/>
      <c r="F102" s="533"/>
      <c r="G102" s="287">
        <f t="shared" si="11"/>
        <v>1500</v>
      </c>
      <c r="H102" s="524"/>
      <c r="I102" s="524"/>
      <c r="J102" s="524"/>
      <c r="K102" s="527"/>
      <c r="L102" s="524"/>
      <c r="M102" s="172"/>
      <c r="N102" s="172"/>
      <c r="O102" s="172"/>
      <c r="P102" s="172"/>
      <c r="Q102" s="258"/>
      <c r="R102" s="258"/>
      <c r="S102" s="31"/>
      <c r="T102" s="31"/>
      <c r="U102" s="31"/>
      <c r="V102" s="2"/>
      <c r="W102" s="2"/>
      <c r="X102" s="2"/>
    </row>
    <row r="103" spans="1:24" s="52" customFormat="1" ht="19.5" thickBot="1" x14ac:dyDescent="0.35">
      <c r="A103" s="260">
        <v>70</v>
      </c>
      <c r="B103" s="300">
        <v>100</v>
      </c>
      <c r="C103" s="301">
        <v>43975</v>
      </c>
      <c r="D103" s="302"/>
      <c r="E103" s="303"/>
      <c r="F103" s="534"/>
      <c r="G103" s="287">
        <f t="shared" si="11"/>
        <v>1500</v>
      </c>
      <c r="H103" s="525"/>
      <c r="I103" s="525"/>
      <c r="J103" s="525"/>
      <c r="K103" s="528"/>
      <c r="L103" s="525"/>
      <c r="M103" s="172"/>
      <c r="N103" s="172"/>
      <c r="O103" s="172"/>
      <c r="P103" s="172"/>
      <c r="Q103" s="258"/>
      <c r="R103" s="258"/>
      <c r="S103" s="31"/>
      <c r="T103" s="31"/>
      <c r="U103" s="31"/>
      <c r="V103" s="2"/>
      <c r="W103" s="2"/>
      <c r="X103" s="2"/>
    </row>
    <row r="104" spans="1:24" s="52" customFormat="1" ht="23.25" customHeight="1" x14ac:dyDescent="0.3">
      <c r="A104" s="260">
        <v>71</v>
      </c>
      <c r="B104" s="283">
        <v>101</v>
      </c>
      <c r="C104" s="284">
        <v>43976</v>
      </c>
      <c r="D104" s="341"/>
      <c r="E104" s="342"/>
      <c r="F104" s="343"/>
      <c r="G104" s="287">
        <f>H$104/10</f>
        <v>1000</v>
      </c>
      <c r="H104" s="586">
        <v>10000</v>
      </c>
      <c r="I104" s="523"/>
      <c r="J104" s="523"/>
      <c r="K104" s="587">
        <f>H104/SUM(H4+H14+H24+H34+H44+H94+H84+H74+H64+H54-I94-I84-I74-I64-J94-J84-J74-J64-I54-J54-I44-J44-I34-J34-I24-J24-I14-J14-I4-J4)</f>
        <v>4.9978009675742674E-2</v>
      </c>
      <c r="L104" s="586">
        <f>H104*0.05</f>
        <v>500</v>
      </c>
      <c r="M104" s="172"/>
      <c r="N104" s="172"/>
      <c r="O104" s="172"/>
      <c r="P104" s="172"/>
      <c r="Q104" s="258"/>
      <c r="R104" s="258"/>
      <c r="S104" s="31"/>
      <c r="T104" s="31"/>
      <c r="U104" s="31"/>
      <c r="V104" s="2"/>
      <c r="W104" s="2"/>
      <c r="X104" s="2"/>
    </row>
    <row r="105" spans="1:24" s="52" customFormat="1" ht="23.25" customHeight="1" x14ac:dyDescent="0.3">
      <c r="A105" s="260">
        <v>72</v>
      </c>
      <c r="B105" s="262">
        <v>102</v>
      </c>
      <c r="C105" s="288">
        <v>43977</v>
      </c>
      <c r="D105" s="302"/>
      <c r="E105" s="303"/>
      <c r="F105" s="344"/>
      <c r="G105" s="287">
        <f t="shared" ref="G105:G113" si="12">H$104/10</f>
        <v>1000</v>
      </c>
      <c r="H105" s="586"/>
      <c r="I105" s="524"/>
      <c r="J105" s="524"/>
      <c r="K105" s="587"/>
      <c r="L105" s="586"/>
      <c r="M105" s="172"/>
      <c r="N105" s="172"/>
      <c r="O105" s="172"/>
      <c r="P105" s="172"/>
      <c r="Q105" s="258"/>
      <c r="R105" s="258"/>
      <c r="S105" s="31"/>
      <c r="T105" s="31"/>
      <c r="U105" s="31"/>
      <c r="V105" s="2"/>
      <c r="W105" s="2"/>
      <c r="X105" s="2"/>
    </row>
    <row r="106" spans="1:24" s="52" customFormat="1" ht="23.25" customHeight="1" x14ac:dyDescent="0.3">
      <c r="A106" s="260">
        <v>73</v>
      </c>
      <c r="B106" s="262">
        <v>103</v>
      </c>
      <c r="C106" s="288">
        <v>43978</v>
      </c>
      <c r="D106" s="302"/>
      <c r="E106" s="303"/>
      <c r="F106" s="344"/>
      <c r="G106" s="287">
        <f t="shared" si="12"/>
        <v>1000</v>
      </c>
      <c r="H106" s="586"/>
      <c r="I106" s="524"/>
      <c r="J106" s="524"/>
      <c r="K106" s="587"/>
      <c r="L106" s="586"/>
      <c r="M106" s="172"/>
      <c r="N106" s="172"/>
      <c r="O106" s="172"/>
      <c r="P106" s="172"/>
      <c r="Q106" s="258"/>
      <c r="R106" s="258"/>
      <c r="S106" s="31"/>
      <c r="T106" s="31"/>
      <c r="U106" s="31"/>
      <c r="V106" s="2"/>
      <c r="W106" s="2"/>
      <c r="X106" s="2"/>
    </row>
    <row r="107" spans="1:24" s="52" customFormat="1" ht="23.25" customHeight="1" x14ac:dyDescent="0.3">
      <c r="A107" s="260">
        <v>74</v>
      </c>
      <c r="B107" s="262">
        <v>104</v>
      </c>
      <c r="C107" s="288">
        <v>43979</v>
      </c>
      <c r="D107" s="302"/>
      <c r="E107" s="303"/>
      <c r="F107" s="344"/>
      <c r="G107" s="287">
        <f t="shared" si="12"/>
        <v>1000</v>
      </c>
      <c r="H107" s="586"/>
      <c r="I107" s="524"/>
      <c r="J107" s="524"/>
      <c r="K107" s="587"/>
      <c r="L107" s="586"/>
      <c r="M107" s="172"/>
      <c r="N107" s="172"/>
      <c r="O107" s="172"/>
      <c r="P107" s="172"/>
      <c r="Q107" s="258"/>
      <c r="R107" s="258"/>
      <c r="S107" s="31"/>
      <c r="T107" s="31"/>
      <c r="U107" s="31"/>
      <c r="V107" s="2"/>
      <c r="W107" s="2"/>
      <c r="X107" s="2"/>
    </row>
    <row r="108" spans="1:24" s="52" customFormat="1" ht="23.25" customHeight="1" x14ac:dyDescent="0.3">
      <c r="A108" s="260">
        <v>75</v>
      </c>
      <c r="B108" s="262">
        <v>105</v>
      </c>
      <c r="C108" s="288">
        <v>43980</v>
      </c>
      <c r="D108" s="302"/>
      <c r="E108" s="303"/>
      <c r="F108" s="344"/>
      <c r="G108" s="287">
        <f t="shared" si="12"/>
        <v>1000</v>
      </c>
      <c r="H108" s="586"/>
      <c r="I108" s="524"/>
      <c r="J108" s="524"/>
      <c r="K108" s="587"/>
      <c r="L108" s="586"/>
      <c r="M108" s="172"/>
      <c r="N108" s="172"/>
      <c r="O108" s="172"/>
      <c r="P108" s="172"/>
      <c r="Q108" s="258"/>
      <c r="R108" s="258"/>
      <c r="S108" s="31"/>
      <c r="T108" s="31"/>
      <c r="U108" s="31"/>
      <c r="V108" s="2"/>
      <c r="W108" s="2"/>
      <c r="X108" s="2"/>
    </row>
    <row r="109" spans="1:24" s="52" customFormat="1" ht="23.25" customHeight="1" x14ac:dyDescent="0.3">
      <c r="A109" s="260">
        <v>76</v>
      </c>
      <c r="B109" s="262">
        <v>106</v>
      </c>
      <c r="C109" s="288">
        <v>43981</v>
      </c>
      <c r="D109" s="302"/>
      <c r="E109" s="303"/>
      <c r="F109" s="344"/>
      <c r="G109" s="287">
        <f t="shared" si="12"/>
        <v>1000</v>
      </c>
      <c r="H109" s="586"/>
      <c r="I109" s="524"/>
      <c r="J109" s="524"/>
      <c r="K109" s="587"/>
      <c r="L109" s="586"/>
      <c r="M109" s="172"/>
      <c r="N109" s="172"/>
      <c r="O109" s="172"/>
      <c r="P109" s="172"/>
      <c r="Q109" s="258"/>
      <c r="R109" s="258"/>
      <c r="S109" s="31"/>
      <c r="T109" s="31"/>
      <c r="U109" s="31"/>
      <c r="V109" s="2"/>
      <c r="W109" s="2"/>
      <c r="X109" s="2"/>
    </row>
    <row r="110" spans="1:24" s="52" customFormat="1" ht="23.25" customHeight="1" x14ac:dyDescent="0.3">
      <c r="A110" s="260">
        <v>77</v>
      </c>
      <c r="B110" s="262">
        <v>107</v>
      </c>
      <c r="C110" s="288">
        <v>43982</v>
      </c>
      <c r="D110" s="302"/>
      <c r="E110" s="303"/>
      <c r="F110" s="344"/>
      <c r="G110" s="287">
        <f t="shared" si="12"/>
        <v>1000</v>
      </c>
      <c r="H110" s="586"/>
      <c r="I110" s="524"/>
      <c r="J110" s="524"/>
      <c r="K110" s="587"/>
      <c r="L110" s="586"/>
      <c r="M110" s="172"/>
      <c r="N110" s="172"/>
      <c r="O110" s="172"/>
      <c r="P110" s="172"/>
      <c r="Q110" s="258"/>
      <c r="R110" s="258"/>
      <c r="S110" s="31"/>
      <c r="T110" s="31"/>
      <c r="U110" s="31"/>
      <c r="V110" s="2"/>
      <c r="W110" s="2"/>
      <c r="X110" s="2"/>
    </row>
    <row r="111" spans="1:24" s="52" customFormat="1" ht="23.25" customHeight="1" x14ac:dyDescent="0.3">
      <c r="A111" s="260">
        <v>78</v>
      </c>
      <c r="B111" s="262">
        <v>108</v>
      </c>
      <c r="C111" s="288">
        <v>43983</v>
      </c>
      <c r="D111" s="302"/>
      <c r="E111" s="303"/>
      <c r="F111" s="344"/>
      <c r="G111" s="287">
        <f t="shared" si="12"/>
        <v>1000</v>
      </c>
      <c r="H111" s="586"/>
      <c r="I111" s="524"/>
      <c r="J111" s="524"/>
      <c r="K111" s="587"/>
      <c r="L111" s="586"/>
      <c r="M111" s="172"/>
      <c r="N111" s="172"/>
      <c r="O111" s="172"/>
      <c r="P111" s="172"/>
      <c r="Q111" s="258"/>
      <c r="R111" s="258"/>
      <c r="S111" s="31"/>
      <c r="T111" s="31"/>
      <c r="U111" s="31"/>
      <c r="V111" s="2"/>
      <c r="W111" s="2"/>
      <c r="X111" s="2"/>
    </row>
    <row r="112" spans="1:24" s="52" customFormat="1" ht="23.25" customHeight="1" x14ac:dyDescent="0.3">
      <c r="A112" s="260">
        <v>79</v>
      </c>
      <c r="B112" s="262">
        <v>109</v>
      </c>
      <c r="C112" s="288">
        <v>43984</v>
      </c>
      <c r="D112" s="302"/>
      <c r="E112" s="303"/>
      <c r="F112" s="344"/>
      <c r="G112" s="287">
        <f t="shared" si="12"/>
        <v>1000</v>
      </c>
      <c r="H112" s="586"/>
      <c r="I112" s="524"/>
      <c r="J112" s="524"/>
      <c r="K112" s="587"/>
      <c r="L112" s="586"/>
      <c r="M112" s="172"/>
      <c r="N112" s="172"/>
      <c r="O112" s="172"/>
      <c r="P112" s="172"/>
      <c r="Q112" s="258"/>
      <c r="R112" s="258"/>
      <c r="S112" s="31"/>
      <c r="T112" s="31"/>
      <c r="U112" s="31"/>
      <c r="V112" s="2"/>
      <c r="W112" s="2"/>
      <c r="X112" s="2"/>
    </row>
    <row r="113" spans="1:24" s="52" customFormat="1" ht="24.75" customHeight="1" thickBot="1" x14ac:dyDescent="0.35">
      <c r="A113" s="260">
        <v>80</v>
      </c>
      <c r="B113" s="300">
        <v>110</v>
      </c>
      <c r="C113" s="301">
        <v>43985</v>
      </c>
      <c r="D113" s="302"/>
      <c r="E113" s="303"/>
      <c r="F113" s="344"/>
      <c r="G113" s="287">
        <f t="shared" si="12"/>
        <v>1000</v>
      </c>
      <c r="H113" s="586"/>
      <c r="I113" s="525"/>
      <c r="J113" s="525"/>
      <c r="K113" s="587"/>
      <c r="L113" s="586"/>
      <c r="M113" s="172"/>
      <c r="N113" s="172"/>
      <c r="O113" s="172"/>
      <c r="P113" s="172"/>
      <c r="Q113" s="258"/>
      <c r="R113" s="258"/>
      <c r="S113" s="31"/>
      <c r="T113" s="31"/>
      <c r="U113" s="31"/>
      <c r="V113" s="2"/>
      <c r="W113" s="2"/>
      <c r="X113" s="2"/>
    </row>
    <row r="114" spans="1:24" s="52" customFormat="1" ht="18" customHeight="1" x14ac:dyDescent="0.3">
      <c r="A114" s="260">
        <v>81</v>
      </c>
      <c r="B114" s="307">
        <v>111</v>
      </c>
      <c r="C114" s="284">
        <v>43986</v>
      </c>
      <c r="D114" s="341"/>
      <c r="E114" s="342"/>
      <c r="F114" s="348"/>
      <c r="G114" s="349">
        <f>H$114/10</f>
        <v>500</v>
      </c>
      <c r="H114" s="586">
        <v>5000</v>
      </c>
      <c r="I114" s="523"/>
      <c r="J114" s="523"/>
      <c r="K114" s="587">
        <f>H114/SUM(H4+H14+H24+H34+H44+H54+H104+H94+H84+H74+H64-I104-I94-I84-I74-J104-J94-J84-J74-I64-J64-I54-J54-I44-J44-I34-J34-I24-J24-I14-J14-I4-J4)</f>
        <v>2.3799550664483454E-2</v>
      </c>
      <c r="L114" s="586">
        <f>H114*0.05</f>
        <v>250</v>
      </c>
      <c r="M114" s="172"/>
      <c r="N114" s="172"/>
      <c r="O114" s="172"/>
      <c r="P114" s="172"/>
      <c r="Q114" s="258"/>
      <c r="R114" s="258"/>
      <c r="S114" s="31"/>
      <c r="T114" s="31"/>
      <c r="U114" s="31"/>
      <c r="V114" s="2"/>
      <c r="W114" s="2"/>
      <c r="X114" s="2"/>
    </row>
    <row r="115" spans="1:24" s="52" customFormat="1" ht="18" customHeight="1" x14ac:dyDescent="0.3">
      <c r="A115" s="260">
        <v>82</v>
      </c>
      <c r="B115" s="262">
        <v>112</v>
      </c>
      <c r="C115" s="288">
        <v>43987</v>
      </c>
      <c r="D115" s="302"/>
      <c r="E115" s="303"/>
      <c r="F115" s="350"/>
      <c r="G115" s="349">
        <f t="shared" ref="G115:G123" si="13">H$114/10</f>
        <v>500</v>
      </c>
      <c r="H115" s="586"/>
      <c r="I115" s="524"/>
      <c r="J115" s="524"/>
      <c r="K115" s="587"/>
      <c r="L115" s="586"/>
      <c r="M115" s="172"/>
      <c r="N115" s="172"/>
      <c r="O115" s="172"/>
      <c r="P115" s="172"/>
      <c r="Q115" s="258"/>
      <c r="R115" s="258"/>
      <c r="S115" s="31"/>
      <c r="T115" s="31"/>
      <c r="U115" s="31"/>
      <c r="V115" s="2"/>
      <c r="W115" s="2"/>
      <c r="X115" s="2"/>
    </row>
    <row r="116" spans="1:24" s="52" customFormat="1" ht="18" customHeight="1" x14ac:dyDescent="0.3">
      <c r="A116" s="260">
        <v>83</v>
      </c>
      <c r="B116" s="262">
        <v>113</v>
      </c>
      <c r="C116" s="288">
        <v>43988</v>
      </c>
      <c r="D116" s="302"/>
      <c r="E116" s="303"/>
      <c r="F116" s="350"/>
      <c r="G116" s="349">
        <f t="shared" si="13"/>
        <v>500</v>
      </c>
      <c r="H116" s="586"/>
      <c r="I116" s="524"/>
      <c r="J116" s="524"/>
      <c r="K116" s="587"/>
      <c r="L116" s="586"/>
      <c r="M116" s="172"/>
      <c r="N116" s="172"/>
      <c r="O116" s="172"/>
      <c r="P116" s="172"/>
      <c r="Q116" s="258"/>
      <c r="R116" s="258"/>
      <c r="S116" s="31"/>
      <c r="T116" s="31"/>
      <c r="U116" s="31"/>
      <c r="V116" s="2"/>
      <c r="W116" s="2"/>
      <c r="X116" s="2"/>
    </row>
    <row r="117" spans="1:24" s="52" customFormat="1" ht="18" customHeight="1" x14ac:dyDescent="0.3">
      <c r="A117" s="260">
        <v>84</v>
      </c>
      <c r="B117" s="262">
        <v>114</v>
      </c>
      <c r="C117" s="288">
        <v>43989</v>
      </c>
      <c r="D117" s="302"/>
      <c r="E117" s="303"/>
      <c r="F117" s="350"/>
      <c r="G117" s="349">
        <f t="shared" si="13"/>
        <v>500</v>
      </c>
      <c r="H117" s="586"/>
      <c r="I117" s="524"/>
      <c r="J117" s="524"/>
      <c r="K117" s="587"/>
      <c r="L117" s="586"/>
      <c r="M117" s="172"/>
      <c r="N117" s="172"/>
      <c r="O117" s="172"/>
      <c r="P117" s="172"/>
      <c r="Q117" s="258"/>
      <c r="R117" s="258"/>
      <c r="S117" s="31"/>
      <c r="T117" s="31"/>
      <c r="U117" s="31"/>
      <c r="V117" s="2"/>
      <c r="W117" s="2"/>
      <c r="X117" s="2"/>
    </row>
    <row r="118" spans="1:24" s="52" customFormat="1" ht="18" customHeight="1" x14ac:dyDescent="0.3">
      <c r="A118" s="260">
        <v>85</v>
      </c>
      <c r="B118" s="262">
        <v>115</v>
      </c>
      <c r="C118" s="288">
        <v>43990</v>
      </c>
      <c r="D118" s="302"/>
      <c r="E118" s="303"/>
      <c r="F118" s="350"/>
      <c r="G118" s="349">
        <f t="shared" si="13"/>
        <v>500</v>
      </c>
      <c r="H118" s="586"/>
      <c r="I118" s="524"/>
      <c r="J118" s="524"/>
      <c r="K118" s="587"/>
      <c r="L118" s="586"/>
      <c r="M118" s="172"/>
      <c r="N118" s="172"/>
      <c r="O118" s="172"/>
      <c r="P118" s="172"/>
      <c r="Q118" s="258"/>
      <c r="R118" s="258"/>
      <c r="S118" s="31"/>
      <c r="T118" s="31"/>
      <c r="U118" s="31"/>
      <c r="V118" s="2"/>
      <c r="W118" s="2"/>
      <c r="X118" s="2"/>
    </row>
    <row r="119" spans="1:24" s="52" customFormat="1" ht="18" customHeight="1" x14ac:dyDescent="0.3">
      <c r="A119" s="260">
        <v>86</v>
      </c>
      <c r="B119" s="262">
        <v>116</v>
      </c>
      <c r="C119" s="288">
        <v>43991</v>
      </c>
      <c r="D119" s="302"/>
      <c r="E119" s="303"/>
      <c r="F119" s="350"/>
      <c r="G119" s="349">
        <f t="shared" si="13"/>
        <v>500</v>
      </c>
      <c r="H119" s="586"/>
      <c r="I119" s="524"/>
      <c r="J119" s="524"/>
      <c r="K119" s="587"/>
      <c r="L119" s="586"/>
      <c r="M119" s="172"/>
      <c r="N119" s="172"/>
      <c r="O119" s="172"/>
      <c r="P119" s="172"/>
      <c r="Q119" s="258"/>
      <c r="R119" s="258"/>
      <c r="S119" s="31"/>
      <c r="T119" s="31"/>
      <c r="U119" s="31"/>
      <c r="V119" s="2"/>
      <c r="W119" s="2"/>
      <c r="X119" s="2"/>
    </row>
    <row r="120" spans="1:24" s="52" customFormat="1" ht="18" customHeight="1" x14ac:dyDescent="0.3">
      <c r="A120" s="260">
        <v>87</v>
      </c>
      <c r="B120" s="262">
        <v>117</v>
      </c>
      <c r="C120" s="288">
        <v>43992</v>
      </c>
      <c r="D120" s="302"/>
      <c r="E120" s="303"/>
      <c r="F120" s="350"/>
      <c r="G120" s="349">
        <f t="shared" si="13"/>
        <v>500</v>
      </c>
      <c r="H120" s="586"/>
      <c r="I120" s="524"/>
      <c r="J120" s="524"/>
      <c r="K120" s="587"/>
      <c r="L120" s="586"/>
      <c r="M120" s="172"/>
      <c r="N120" s="172"/>
      <c r="O120" s="172"/>
      <c r="P120" s="172"/>
      <c r="Q120" s="258"/>
      <c r="R120" s="258"/>
      <c r="S120" s="31"/>
      <c r="T120" s="31"/>
      <c r="U120" s="31"/>
      <c r="V120" s="2"/>
      <c r="W120" s="2"/>
      <c r="X120" s="2"/>
    </row>
    <row r="121" spans="1:24" s="52" customFormat="1" ht="18" customHeight="1" x14ac:dyDescent="0.3">
      <c r="A121" s="260">
        <v>88</v>
      </c>
      <c r="B121" s="262">
        <v>118</v>
      </c>
      <c r="C121" s="288">
        <v>43993</v>
      </c>
      <c r="D121" s="302"/>
      <c r="E121" s="303"/>
      <c r="F121" s="350"/>
      <c r="G121" s="349">
        <f t="shared" si="13"/>
        <v>500</v>
      </c>
      <c r="H121" s="586"/>
      <c r="I121" s="524"/>
      <c r="J121" s="524"/>
      <c r="K121" s="587"/>
      <c r="L121" s="586"/>
      <c r="M121" s="172"/>
      <c r="N121" s="172"/>
      <c r="O121" s="172"/>
      <c r="P121" s="172"/>
      <c r="Q121" s="258"/>
      <c r="R121" s="258"/>
      <c r="S121" s="31"/>
      <c r="T121" s="31"/>
      <c r="U121" s="31"/>
      <c r="V121" s="2"/>
      <c r="W121" s="2"/>
      <c r="X121" s="2"/>
    </row>
    <row r="122" spans="1:24" s="52" customFormat="1" ht="18" customHeight="1" x14ac:dyDescent="0.3">
      <c r="A122" s="260">
        <v>89</v>
      </c>
      <c r="B122" s="262">
        <v>119</v>
      </c>
      <c r="C122" s="288">
        <v>43994</v>
      </c>
      <c r="D122" s="302"/>
      <c r="E122" s="303"/>
      <c r="F122" s="350"/>
      <c r="G122" s="349">
        <f t="shared" si="13"/>
        <v>500</v>
      </c>
      <c r="H122" s="586"/>
      <c r="I122" s="524"/>
      <c r="J122" s="524"/>
      <c r="K122" s="587"/>
      <c r="L122" s="586"/>
      <c r="M122" s="172"/>
      <c r="N122" s="172"/>
      <c r="O122" s="172"/>
      <c r="P122" s="172"/>
      <c r="Q122" s="258"/>
      <c r="R122" s="258"/>
      <c r="S122" s="31"/>
      <c r="T122" s="31"/>
      <c r="U122" s="31"/>
      <c r="V122" s="2"/>
      <c r="W122" s="2"/>
      <c r="X122" s="2"/>
    </row>
    <row r="123" spans="1:24" s="52" customFormat="1" ht="18.600000000000001" customHeight="1" thickBot="1" x14ac:dyDescent="0.35">
      <c r="A123" s="260">
        <v>90</v>
      </c>
      <c r="B123" s="263">
        <v>120</v>
      </c>
      <c r="C123" s="291">
        <v>43995</v>
      </c>
      <c r="D123" s="292"/>
      <c r="E123" s="293"/>
      <c r="F123" s="352"/>
      <c r="G123" s="349">
        <f t="shared" si="13"/>
        <v>500</v>
      </c>
      <c r="H123" s="586"/>
      <c r="I123" s="525"/>
      <c r="J123" s="525"/>
      <c r="K123" s="587"/>
      <c r="L123" s="586"/>
      <c r="M123" s="172"/>
      <c r="N123" s="172"/>
      <c r="O123" s="172"/>
      <c r="P123" s="172"/>
      <c r="Q123" s="258"/>
      <c r="R123" s="258"/>
      <c r="S123" s="31"/>
      <c r="T123" s="31"/>
      <c r="U123" s="31"/>
      <c r="V123" s="2"/>
      <c r="W123" s="2"/>
      <c r="X123" s="2"/>
    </row>
    <row r="124" spans="1:24" s="52" customFormat="1" x14ac:dyDescent="0.3">
      <c r="A124" s="260">
        <v>91</v>
      </c>
      <c r="B124" s="261">
        <v>121</v>
      </c>
      <c r="C124" s="284">
        <v>43996</v>
      </c>
      <c r="D124" s="341"/>
      <c r="E124" s="342"/>
      <c r="F124" s="348"/>
      <c r="G124" s="349">
        <f>H$104/10</f>
        <v>1000</v>
      </c>
      <c r="H124" s="586">
        <v>3000</v>
      </c>
      <c r="I124" s="586"/>
      <c r="J124" s="586"/>
      <c r="K124" s="587">
        <f>H124/SUM(H24+H34+H44+H54+H64+H114+H104+H94+H84+H74-I114-I104-I94-I84-J114-J104-J94-J84-I74-J74-I64-J64-I54-J54-I44-J44-I34-J34-I24-J24)</f>
        <v>1.3974547690473085E-2</v>
      </c>
      <c r="L124" s="586">
        <f>H124*0.05</f>
        <v>150</v>
      </c>
      <c r="M124" s="172"/>
      <c r="N124" s="172"/>
      <c r="O124" s="172"/>
      <c r="P124" s="172"/>
      <c r="Q124" s="258"/>
      <c r="R124" s="258"/>
      <c r="S124" s="31"/>
      <c r="T124" s="31"/>
      <c r="U124" s="31"/>
      <c r="V124" s="2"/>
      <c r="W124" s="2"/>
      <c r="X124" s="2"/>
    </row>
    <row r="125" spans="1:24" x14ac:dyDescent="0.3">
      <c r="A125" s="260">
        <v>92</v>
      </c>
      <c r="B125" s="262">
        <v>122</v>
      </c>
      <c r="C125" s="288">
        <v>43997</v>
      </c>
      <c r="D125" s="302"/>
      <c r="E125" s="303"/>
      <c r="F125" s="350"/>
      <c r="G125" s="349">
        <f t="shared" ref="G125:G133" si="14">H$104/10</f>
        <v>1000</v>
      </c>
      <c r="H125" s="586"/>
      <c r="I125" s="586"/>
      <c r="J125" s="586"/>
      <c r="K125" s="587"/>
      <c r="L125" s="586"/>
    </row>
    <row r="126" spans="1:24" x14ac:dyDescent="0.3">
      <c r="A126" s="260">
        <v>93</v>
      </c>
      <c r="B126" s="262">
        <v>123</v>
      </c>
      <c r="C126" s="288">
        <v>43998</v>
      </c>
      <c r="D126" s="302"/>
      <c r="E126" s="303"/>
      <c r="F126" s="350"/>
      <c r="G126" s="349">
        <f t="shared" si="14"/>
        <v>1000</v>
      </c>
      <c r="H126" s="586"/>
      <c r="I126" s="586"/>
      <c r="J126" s="586"/>
      <c r="K126" s="587"/>
      <c r="L126" s="586"/>
    </row>
    <row r="127" spans="1:24" x14ac:dyDescent="0.3">
      <c r="A127" s="260">
        <v>94</v>
      </c>
      <c r="B127" s="262">
        <v>124</v>
      </c>
      <c r="C127" s="288">
        <v>43999</v>
      </c>
      <c r="D127" s="302"/>
      <c r="E127" s="303"/>
      <c r="F127" s="350"/>
      <c r="G127" s="349">
        <f t="shared" si="14"/>
        <v>1000</v>
      </c>
      <c r="H127" s="586"/>
      <c r="I127" s="586"/>
      <c r="J127" s="586"/>
      <c r="K127" s="587"/>
      <c r="L127" s="586"/>
    </row>
    <row r="128" spans="1:24" x14ac:dyDescent="0.3">
      <c r="A128" s="260">
        <v>95</v>
      </c>
      <c r="B128" s="262">
        <v>125</v>
      </c>
      <c r="C128" s="288">
        <v>44000</v>
      </c>
      <c r="D128" s="302"/>
      <c r="E128" s="303"/>
      <c r="F128" s="350"/>
      <c r="G128" s="349">
        <f t="shared" si="14"/>
        <v>1000</v>
      </c>
      <c r="H128" s="586"/>
      <c r="I128" s="586"/>
      <c r="J128" s="586"/>
      <c r="K128" s="587"/>
      <c r="L128" s="586"/>
    </row>
    <row r="129" spans="1:12" x14ac:dyDescent="0.3">
      <c r="A129" s="260">
        <v>96</v>
      </c>
      <c r="B129" s="262">
        <v>126</v>
      </c>
      <c r="C129" s="288">
        <v>44001</v>
      </c>
      <c r="D129" s="302"/>
      <c r="E129" s="303"/>
      <c r="F129" s="350"/>
      <c r="G129" s="349">
        <f t="shared" si="14"/>
        <v>1000</v>
      </c>
      <c r="H129" s="586"/>
      <c r="I129" s="586"/>
      <c r="J129" s="586"/>
      <c r="K129" s="587"/>
      <c r="L129" s="586"/>
    </row>
    <row r="130" spans="1:12" x14ac:dyDescent="0.3">
      <c r="A130" s="260">
        <v>97</v>
      </c>
      <c r="B130" s="262">
        <v>127</v>
      </c>
      <c r="C130" s="288">
        <v>44002</v>
      </c>
      <c r="D130" s="302"/>
      <c r="E130" s="303"/>
      <c r="F130" s="350"/>
      <c r="G130" s="349">
        <f t="shared" si="14"/>
        <v>1000</v>
      </c>
      <c r="H130" s="586"/>
      <c r="I130" s="586"/>
      <c r="J130" s="586"/>
      <c r="K130" s="587"/>
      <c r="L130" s="586"/>
    </row>
    <row r="131" spans="1:12" x14ac:dyDescent="0.3">
      <c r="A131" s="260">
        <v>98</v>
      </c>
      <c r="B131" s="262">
        <v>128</v>
      </c>
      <c r="C131" s="288">
        <v>44003</v>
      </c>
      <c r="D131" s="302"/>
      <c r="E131" s="303"/>
      <c r="F131" s="350"/>
      <c r="G131" s="349">
        <f t="shared" si="14"/>
        <v>1000</v>
      </c>
      <c r="H131" s="586"/>
      <c r="I131" s="586"/>
      <c r="J131" s="586"/>
      <c r="K131" s="587"/>
      <c r="L131" s="586"/>
    </row>
    <row r="132" spans="1:12" x14ac:dyDescent="0.3">
      <c r="A132" s="260">
        <v>99</v>
      </c>
      <c r="B132" s="262">
        <v>129</v>
      </c>
      <c r="C132" s="288">
        <v>44004</v>
      </c>
      <c r="D132" s="302"/>
      <c r="E132" s="303"/>
      <c r="F132" s="350"/>
      <c r="G132" s="349">
        <f t="shared" si="14"/>
        <v>1000</v>
      </c>
      <c r="H132" s="586"/>
      <c r="I132" s="586"/>
      <c r="J132" s="586"/>
      <c r="K132" s="587"/>
      <c r="L132" s="586"/>
    </row>
    <row r="133" spans="1:12" ht="19.5" thickBot="1" x14ac:dyDescent="0.35">
      <c r="A133" s="260">
        <v>100</v>
      </c>
      <c r="B133" s="263">
        <v>130</v>
      </c>
      <c r="C133" s="291">
        <v>44005</v>
      </c>
      <c r="D133" s="292"/>
      <c r="E133" s="293"/>
      <c r="F133" s="352"/>
      <c r="G133" s="349">
        <f t="shared" si="14"/>
        <v>1000</v>
      </c>
      <c r="H133" s="586"/>
      <c r="I133" s="586"/>
      <c r="J133" s="586"/>
      <c r="K133" s="587"/>
      <c r="L133" s="586"/>
    </row>
    <row r="134" spans="1:12" x14ac:dyDescent="0.3">
      <c r="A134" s="260">
        <v>101</v>
      </c>
      <c r="B134" s="261">
        <v>131</v>
      </c>
      <c r="C134" s="284">
        <v>44006</v>
      </c>
      <c r="D134" s="341"/>
      <c r="E134" s="342"/>
      <c r="F134" s="348"/>
      <c r="G134" s="349">
        <f>H$114/10</f>
        <v>500</v>
      </c>
      <c r="H134" s="533">
        <v>1000</v>
      </c>
      <c r="I134" s="346"/>
      <c r="J134" s="346"/>
      <c r="K134" s="527">
        <f>H134/SUM(H24+H34+H44+H54+H64+H74+H124+H114+H104+H94+H84-I124-I114-I104-I94-J124-J114-J104-J94-I84-J84-I74-J74-I64-J64-I54-J54-I44-J44-I34-J34-I24-J24)</f>
        <v>4.5939837189217002E-3</v>
      </c>
      <c r="L134" s="594">
        <f>H134*0.05</f>
        <v>50</v>
      </c>
    </row>
    <row r="135" spans="1:12" x14ac:dyDescent="0.3">
      <c r="A135" s="260">
        <v>102</v>
      </c>
      <c r="B135" s="262">
        <v>132</v>
      </c>
      <c r="C135" s="288">
        <v>44007</v>
      </c>
      <c r="D135" s="302"/>
      <c r="E135" s="303"/>
      <c r="F135" s="350"/>
      <c r="G135" s="349">
        <f t="shared" ref="G135:G143" si="15">H$114/10</f>
        <v>500</v>
      </c>
      <c r="H135" s="533"/>
      <c r="I135" s="346"/>
      <c r="J135" s="346"/>
      <c r="K135" s="527"/>
      <c r="L135" s="594"/>
    </row>
    <row r="136" spans="1:12" x14ac:dyDescent="0.3">
      <c r="A136" s="260">
        <v>103</v>
      </c>
      <c r="B136" s="262">
        <v>133</v>
      </c>
      <c r="C136" s="288">
        <v>44008</v>
      </c>
      <c r="D136" s="302"/>
      <c r="E136" s="303"/>
      <c r="F136" s="350"/>
      <c r="G136" s="349">
        <f t="shared" si="15"/>
        <v>500</v>
      </c>
      <c r="H136" s="533"/>
      <c r="I136" s="346"/>
      <c r="J136" s="346"/>
      <c r="K136" s="527"/>
      <c r="L136" s="594"/>
    </row>
    <row r="137" spans="1:12" x14ac:dyDescent="0.3">
      <c r="A137" s="260">
        <v>104</v>
      </c>
      <c r="B137" s="262">
        <v>134</v>
      </c>
      <c r="C137" s="288">
        <v>44009</v>
      </c>
      <c r="D137" s="302"/>
      <c r="E137" s="303"/>
      <c r="F137" s="350"/>
      <c r="G137" s="349">
        <f t="shared" si="15"/>
        <v>500</v>
      </c>
      <c r="H137" s="533"/>
      <c r="I137" s="346"/>
      <c r="J137" s="346"/>
      <c r="K137" s="527"/>
      <c r="L137" s="594"/>
    </row>
    <row r="138" spans="1:12" x14ac:dyDescent="0.3">
      <c r="A138" s="260">
        <v>105</v>
      </c>
      <c r="B138" s="262">
        <v>135</v>
      </c>
      <c r="C138" s="288">
        <v>44010</v>
      </c>
      <c r="D138" s="302"/>
      <c r="E138" s="303"/>
      <c r="F138" s="350"/>
      <c r="G138" s="349">
        <f t="shared" si="15"/>
        <v>500</v>
      </c>
      <c r="H138" s="533"/>
      <c r="I138" s="346"/>
      <c r="J138" s="346"/>
      <c r="K138" s="527"/>
      <c r="L138" s="594"/>
    </row>
    <row r="139" spans="1:12" x14ac:dyDescent="0.3">
      <c r="A139" s="260">
        <v>106</v>
      </c>
      <c r="B139" s="262">
        <v>136</v>
      </c>
      <c r="C139" s="288">
        <v>44011</v>
      </c>
      <c r="D139" s="302"/>
      <c r="E139" s="303"/>
      <c r="F139" s="350"/>
      <c r="G139" s="349">
        <f t="shared" si="15"/>
        <v>500</v>
      </c>
      <c r="H139" s="533"/>
      <c r="I139" s="346"/>
      <c r="J139" s="346"/>
      <c r="K139" s="527"/>
      <c r="L139" s="594"/>
    </row>
    <row r="140" spans="1:12" x14ac:dyDescent="0.3">
      <c r="A140" s="260">
        <v>107</v>
      </c>
      <c r="B140" s="262">
        <v>137</v>
      </c>
      <c r="C140" s="288">
        <v>44012</v>
      </c>
      <c r="D140" s="302"/>
      <c r="E140" s="303"/>
      <c r="F140" s="350"/>
      <c r="G140" s="349">
        <f t="shared" si="15"/>
        <v>500</v>
      </c>
      <c r="H140" s="533"/>
      <c r="I140" s="346"/>
      <c r="J140" s="346"/>
      <c r="K140" s="527"/>
      <c r="L140" s="594"/>
    </row>
    <row r="141" spans="1:12" x14ac:dyDescent="0.3">
      <c r="A141" s="260">
        <v>108</v>
      </c>
      <c r="B141" s="262">
        <v>138</v>
      </c>
      <c r="C141" s="288">
        <v>44013</v>
      </c>
      <c r="D141" s="302"/>
      <c r="E141" s="303"/>
      <c r="F141" s="350"/>
      <c r="G141" s="349">
        <f t="shared" si="15"/>
        <v>500</v>
      </c>
      <c r="H141" s="533"/>
      <c r="I141" s="346"/>
      <c r="J141" s="346"/>
      <c r="K141" s="527"/>
      <c r="L141" s="594"/>
    </row>
    <row r="142" spans="1:12" x14ac:dyDescent="0.3">
      <c r="A142" s="260">
        <v>109</v>
      </c>
      <c r="B142" s="262">
        <v>139</v>
      </c>
      <c r="C142" s="288">
        <v>44014</v>
      </c>
      <c r="D142" s="302"/>
      <c r="E142" s="303"/>
      <c r="F142" s="350"/>
      <c r="G142" s="349">
        <f t="shared" si="15"/>
        <v>500</v>
      </c>
      <c r="H142" s="533"/>
      <c r="I142" s="346"/>
      <c r="J142" s="346"/>
      <c r="K142" s="527"/>
      <c r="L142" s="594"/>
    </row>
    <row r="143" spans="1:12" ht="19.5" thickBot="1" x14ac:dyDescent="0.35">
      <c r="A143" s="260">
        <v>110</v>
      </c>
      <c r="B143" s="263">
        <v>140</v>
      </c>
      <c r="C143" s="291">
        <v>44015</v>
      </c>
      <c r="D143" s="292"/>
      <c r="E143" s="293"/>
      <c r="F143" s="352"/>
      <c r="G143" s="349">
        <f t="shared" si="15"/>
        <v>500</v>
      </c>
      <c r="H143" s="589"/>
      <c r="I143" s="347"/>
      <c r="J143" s="347"/>
      <c r="K143" s="590"/>
      <c r="L143" s="595"/>
    </row>
    <row r="144" spans="1:12" x14ac:dyDescent="0.3">
      <c r="A144" s="32"/>
      <c r="B144" s="32"/>
      <c r="C144" s="308"/>
      <c r="D144" s="309"/>
      <c r="E144" s="606" t="s">
        <v>24</v>
      </c>
      <c r="F144" s="606"/>
      <c r="G144" s="310">
        <f>SUM(G4:G143)</f>
        <v>253082</v>
      </c>
      <c r="H144" s="310">
        <f>SUM(H4:H143)</f>
        <v>242082</v>
      </c>
      <c r="I144" s="311"/>
      <c r="J144" s="311"/>
      <c r="K144" s="312"/>
      <c r="L144" s="326">
        <f>'App.2(ICU-vent. cap)'!F8</f>
        <v>1513.3832352000002</v>
      </c>
    </row>
  </sheetData>
  <mergeCells count="81">
    <mergeCell ref="E144:F144"/>
    <mergeCell ref="F74:F83"/>
    <mergeCell ref="F84:F93"/>
    <mergeCell ref="F94:F103"/>
    <mergeCell ref="H134:H143"/>
    <mergeCell ref="H94:H103"/>
    <mergeCell ref="H74:H83"/>
    <mergeCell ref="K134:K143"/>
    <mergeCell ref="L134:L143"/>
    <mergeCell ref="H114:H123"/>
    <mergeCell ref="I114:I123"/>
    <mergeCell ref="J114:J123"/>
    <mergeCell ref="K114:K123"/>
    <mergeCell ref="L114:L123"/>
    <mergeCell ref="H124:H133"/>
    <mergeCell ref="I124:I133"/>
    <mergeCell ref="J124:J133"/>
    <mergeCell ref="K124:K133"/>
    <mergeCell ref="L124:L133"/>
    <mergeCell ref="I94:I103"/>
    <mergeCell ref="J94:J103"/>
    <mergeCell ref="K94:K103"/>
    <mergeCell ref="L94:L103"/>
    <mergeCell ref="H104:H113"/>
    <mergeCell ref="I104:I113"/>
    <mergeCell ref="J104:J113"/>
    <mergeCell ref="K104:K113"/>
    <mergeCell ref="L104:L113"/>
    <mergeCell ref="I74:I83"/>
    <mergeCell ref="J74:J83"/>
    <mergeCell ref="K74:K83"/>
    <mergeCell ref="L74:L83"/>
    <mergeCell ref="H84:H93"/>
    <mergeCell ref="I84:I93"/>
    <mergeCell ref="J84:J93"/>
    <mergeCell ref="K84:K93"/>
    <mergeCell ref="L84:L93"/>
    <mergeCell ref="L64:L73"/>
    <mergeCell ref="F54:F63"/>
    <mergeCell ref="H54:H63"/>
    <mergeCell ref="I54:I63"/>
    <mergeCell ref="J54:J63"/>
    <mergeCell ref="K54:K63"/>
    <mergeCell ref="L54:L63"/>
    <mergeCell ref="F64:F73"/>
    <mergeCell ref="H64:H73"/>
    <mergeCell ref="I64:I73"/>
    <mergeCell ref="J64:J73"/>
    <mergeCell ref="K64:K73"/>
    <mergeCell ref="L44:L53"/>
    <mergeCell ref="F34:F43"/>
    <mergeCell ref="H34:H43"/>
    <mergeCell ref="I34:I43"/>
    <mergeCell ref="J34:J43"/>
    <mergeCell ref="K34:K43"/>
    <mergeCell ref="L34:L43"/>
    <mergeCell ref="F44:F53"/>
    <mergeCell ref="H44:H53"/>
    <mergeCell ref="I44:I53"/>
    <mergeCell ref="J44:J53"/>
    <mergeCell ref="K44:K53"/>
    <mergeCell ref="L24:L33"/>
    <mergeCell ref="F14:F23"/>
    <mergeCell ref="H14:H23"/>
    <mergeCell ref="I14:I23"/>
    <mergeCell ref="J14:J23"/>
    <mergeCell ref="K14:K23"/>
    <mergeCell ref="L14:L23"/>
    <mergeCell ref="F24:F33"/>
    <mergeCell ref="H24:H33"/>
    <mergeCell ref="I24:I33"/>
    <mergeCell ref="J24:J33"/>
    <mergeCell ref="K24:K33"/>
    <mergeCell ref="A1:L1"/>
    <mergeCell ref="A2:L2"/>
    <mergeCell ref="F4:F13"/>
    <mergeCell ref="H4:H13"/>
    <mergeCell ref="I4:I13"/>
    <mergeCell ref="J4:J13"/>
    <mergeCell ref="K4:K13"/>
    <mergeCell ref="L4:L13"/>
  </mergeCells>
  <printOptions gridLines="1"/>
  <pageMargins left="0" right="0" top="0" bottom="0" header="0" footer="0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84"/>
  <sheetViews>
    <sheetView topLeftCell="A164" zoomScale="80" zoomScaleNormal="80" workbookViewId="0">
      <selection sqref="A1:L1"/>
    </sheetView>
  </sheetViews>
  <sheetFormatPr defaultColWidth="8.85546875" defaultRowHeight="18.75" x14ac:dyDescent="0.3"/>
  <cols>
    <col min="1" max="1" width="12.7109375" style="185" customWidth="1"/>
    <col min="2" max="2" width="4.28515625" style="185" bestFit="1" customWidth="1"/>
    <col min="3" max="3" width="9.140625" style="184" bestFit="1" customWidth="1"/>
    <col min="4" max="4" width="9.5703125" style="182" customWidth="1"/>
    <col min="5" max="5" width="9.7109375" style="182" customWidth="1"/>
    <col min="6" max="6" width="11.7109375" style="182" customWidth="1"/>
    <col min="7" max="7" width="18" style="182" bestFit="1" customWidth="1"/>
    <col min="8" max="8" width="14" style="182" customWidth="1"/>
    <col min="9" max="9" width="10.28515625" style="182" bestFit="1" customWidth="1"/>
    <col min="10" max="10" width="10" style="182" customWidth="1"/>
    <col min="11" max="11" width="21.28515625" style="183" customWidth="1"/>
    <col min="12" max="12" width="12.28515625" style="182" bestFit="1" customWidth="1"/>
    <col min="13" max="13" width="8.85546875" style="52"/>
    <col min="14" max="14" width="13.42578125" style="52" customWidth="1"/>
    <col min="15" max="15" width="27.7109375" style="52" customWidth="1"/>
    <col min="16" max="16" width="21.5703125" style="52" customWidth="1"/>
    <col min="17" max="17" width="9.140625" style="31" customWidth="1"/>
    <col min="18" max="18" width="5.7109375" style="31" customWidth="1"/>
    <col min="19" max="19" width="8.85546875" style="31"/>
    <col min="20" max="20" width="9.140625" style="31" customWidth="1"/>
    <col min="21" max="21" width="8.85546875" style="31"/>
    <col min="22" max="24" width="8.85546875" style="2"/>
    <col min="25" max="16384" width="8.85546875" style="3"/>
  </cols>
  <sheetData>
    <row r="1" spans="1:18" ht="19.5" thickBot="1" x14ac:dyDescent="0.3">
      <c r="A1" s="547" t="s">
        <v>148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9"/>
      <c r="M1" s="172"/>
      <c r="N1" s="172"/>
      <c r="O1" s="172"/>
      <c r="P1" s="172"/>
      <c r="Q1" s="258"/>
      <c r="R1" s="258"/>
    </row>
    <row r="2" spans="1:18" ht="19.5" thickBot="1" x14ac:dyDescent="0.3">
      <c r="A2" s="550" t="s">
        <v>134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2"/>
      <c r="M2" s="172"/>
      <c r="N2" s="172"/>
      <c r="O2" s="172"/>
      <c r="P2" s="172"/>
      <c r="Q2" s="258"/>
      <c r="R2" s="258"/>
    </row>
    <row r="3" spans="1:18" ht="70.5" customHeight="1" thickBot="1" x14ac:dyDescent="0.3">
      <c r="A3" s="315" t="s">
        <v>139</v>
      </c>
      <c r="B3" s="316" t="s">
        <v>20</v>
      </c>
      <c r="C3" s="317" t="s">
        <v>18</v>
      </c>
      <c r="D3" s="318" t="s">
        <v>40</v>
      </c>
      <c r="E3" s="318" t="s">
        <v>39</v>
      </c>
      <c r="F3" s="318" t="s">
        <v>37</v>
      </c>
      <c r="G3" s="318" t="s">
        <v>38</v>
      </c>
      <c r="H3" s="318" t="s">
        <v>41</v>
      </c>
      <c r="I3" s="319" t="s">
        <v>71</v>
      </c>
      <c r="J3" s="319" t="s">
        <v>43</v>
      </c>
      <c r="K3" s="320" t="s">
        <v>129</v>
      </c>
      <c r="L3" s="318" t="s">
        <v>42</v>
      </c>
      <c r="M3" s="172"/>
      <c r="N3" s="172"/>
      <c r="O3" s="172"/>
      <c r="P3" s="172"/>
      <c r="Q3" s="258"/>
      <c r="R3" s="258"/>
    </row>
    <row r="4" spans="1:18" x14ac:dyDescent="0.25">
      <c r="A4" s="260"/>
      <c r="B4" s="261">
        <v>1</v>
      </c>
      <c r="C4" s="192">
        <v>43876</v>
      </c>
      <c r="D4" s="193">
        <v>15</v>
      </c>
      <c r="E4" s="194">
        <f>D4</f>
        <v>15</v>
      </c>
      <c r="F4" s="503">
        <f>SUM(E4:E13)</f>
        <v>53</v>
      </c>
      <c r="G4" s="195">
        <f>F$4/10</f>
        <v>5.3</v>
      </c>
      <c r="H4" s="538">
        <f>SUM(G4:G13)</f>
        <v>52.999999999999993</v>
      </c>
      <c r="I4" s="538">
        <v>0</v>
      </c>
      <c r="J4" s="538">
        <v>0</v>
      </c>
      <c r="K4" s="544" t="s">
        <v>26</v>
      </c>
      <c r="L4" s="538">
        <f>H4*0.05</f>
        <v>2.65</v>
      </c>
      <c r="M4" s="172"/>
      <c r="N4" s="172"/>
      <c r="O4" s="172"/>
      <c r="P4" s="172"/>
      <c r="Q4" s="258"/>
      <c r="R4" s="258"/>
    </row>
    <row r="5" spans="1:18" x14ac:dyDescent="0.25">
      <c r="A5" s="260"/>
      <c r="B5" s="262">
        <v>2</v>
      </c>
      <c r="C5" s="196">
        <v>43877</v>
      </c>
      <c r="D5" s="197">
        <v>15</v>
      </c>
      <c r="E5" s="198">
        <f>D5-D4</f>
        <v>0</v>
      </c>
      <c r="F5" s="504"/>
      <c r="G5" s="195">
        <f t="shared" ref="G5:G13" si="0">F$4/10</f>
        <v>5.3</v>
      </c>
      <c r="H5" s="539"/>
      <c r="I5" s="539"/>
      <c r="J5" s="539"/>
      <c r="K5" s="545"/>
      <c r="L5" s="539"/>
      <c r="M5" s="172"/>
      <c r="N5" s="172"/>
      <c r="O5" s="172"/>
      <c r="P5" s="172"/>
      <c r="Q5" s="258"/>
      <c r="R5" s="258"/>
    </row>
    <row r="6" spans="1:18" x14ac:dyDescent="0.25">
      <c r="A6" s="260"/>
      <c r="B6" s="262">
        <v>3</v>
      </c>
      <c r="C6" s="196">
        <v>43878</v>
      </c>
      <c r="D6" s="197">
        <v>15</v>
      </c>
      <c r="E6" s="198">
        <f t="shared" ref="E6:E43" si="1">D6-D5</f>
        <v>0</v>
      </c>
      <c r="F6" s="504"/>
      <c r="G6" s="195">
        <f t="shared" si="0"/>
        <v>5.3</v>
      </c>
      <c r="H6" s="539"/>
      <c r="I6" s="539"/>
      <c r="J6" s="539"/>
      <c r="K6" s="545"/>
      <c r="L6" s="539"/>
      <c r="M6" s="172"/>
      <c r="N6" s="172"/>
      <c r="O6" s="172"/>
      <c r="P6" s="172"/>
      <c r="Q6" s="258"/>
      <c r="R6" s="258"/>
    </row>
    <row r="7" spans="1:18" x14ac:dyDescent="0.25">
      <c r="A7" s="260"/>
      <c r="B7" s="262">
        <v>4</v>
      </c>
      <c r="C7" s="196">
        <v>43879</v>
      </c>
      <c r="D7" s="197">
        <v>15</v>
      </c>
      <c r="E7" s="198">
        <f t="shared" si="1"/>
        <v>0</v>
      </c>
      <c r="F7" s="504"/>
      <c r="G7" s="195">
        <f t="shared" si="0"/>
        <v>5.3</v>
      </c>
      <c r="H7" s="539"/>
      <c r="I7" s="539"/>
      <c r="J7" s="539"/>
      <c r="K7" s="545"/>
      <c r="L7" s="539"/>
      <c r="M7" s="172"/>
      <c r="N7" s="172"/>
      <c r="O7" s="172"/>
      <c r="P7" s="172"/>
      <c r="Q7" s="258"/>
      <c r="R7" s="258"/>
    </row>
    <row r="8" spans="1:18" x14ac:dyDescent="0.25">
      <c r="A8" s="260"/>
      <c r="B8" s="262">
        <v>5</v>
      </c>
      <c r="C8" s="196">
        <v>43880</v>
      </c>
      <c r="D8" s="199">
        <v>15</v>
      </c>
      <c r="E8" s="198">
        <f t="shared" si="1"/>
        <v>0</v>
      </c>
      <c r="F8" s="504"/>
      <c r="G8" s="195">
        <f t="shared" si="0"/>
        <v>5.3</v>
      </c>
      <c r="H8" s="539"/>
      <c r="I8" s="539"/>
      <c r="J8" s="539"/>
      <c r="K8" s="545"/>
      <c r="L8" s="539"/>
      <c r="M8" s="172"/>
      <c r="N8" s="172"/>
      <c r="O8" s="172"/>
      <c r="P8" s="172"/>
      <c r="Q8" s="258"/>
      <c r="R8" s="258"/>
    </row>
    <row r="9" spans="1:18" x14ac:dyDescent="0.25">
      <c r="A9" s="260"/>
      <c r="B9" s="262">
        <v>6</v>
      </c>
      <c r="C9" s="196">
        <v>43881</v>
      </c>
      <c r="D9" s="197">
        <v>15</v>
      </c>
      <c r="E9" s="198">
        <f t="shared" si="1"/>
        <v>0</v>
      </c>
      <c r="F9" s="504"/>
      <c r="G9" s="195">
        <f t="shared" si="0"/>
        <v>5.3</v>
      </c>
      <c r="H9" s="539"/>
      <c r="I9" s="539"/>
      <c r="J9" s="539"/>
      <c r="K9" s="545"/>
      <c r="L9" s="539"/>
      <c r="M9" s="172"/>
      <c r="N9" s="172"/>
      <c r="O9" s="172"/>
      <c r="P9" s="172"/>
      <c r="Q9" s="258"/>
      <c r="R9" s="258"/>
    </row>
    <row r="10" spans="1:18" x14ac:dyDescent="0.25">
      <c r="A10" s="260"/>
      <c r="B10" s="262">
        <v>7</v>
      </c>
      <c r="C10" s="196">
        <v>43882</v>
      </c>
      <c r="D10" s="197">
        <v>35</v>
      </c>
      <c r="E10" s="198">
        <f t="shared" si="1"/>
        <v>20</v>
      </c>
      <c r="F10" s="504"/>
      <c r="G10" s="195">
        <f t="shared" si="0"/>
        <v>5.3</v>
      </c>
      <c r="H10" s="539"/>
      <c r="I10" s="539"/>
      <c r="J10" s="539"/>
      <c r="K10" s="545"/>
      <c r="L10" s="539"/>
      <c r="M10" s="172"/>
      <c r="N10" s="172"/>
      <c r="O10" s="172"/>
      <c r="P10" s="172"/>
      <c r="Q10" s="258"/>
      <c r="R10" s="258"/>
    </row>
    <row r="11" spans="1:18" x14ac:dyDescent="0.25">
      <c r="A11" s="260"/>
      <c r="B11" s="262">
        <v>8</v>
      </c>
      <c r="C11" s="196">
        <v>43883</v>
      </c>
      <c r="D11" s="197">
        <v>35</v>
      </c>
      <c r="E11" s="198">
        <f t="shared" si="1"/>
        <v>0</v>
      </c>
      <c r="F11" s="504"/>
      <c r="G11" s="195">
        <f t="shared" si="0"/>
        <v>5.3</v>
      </c>
      <c r="H11" s="539"/>
      <c r="I11" s="539"/>
      <c r="J11" s="539"/>
      <c r="K11" s="545"/>
      <c r="L11" s="539"/>
      <c r="M11" s="172"/>
      <c r="N11" s="172"/>
      <c r="O11" s="172"/>
      <c r="P11" s="172"/>
      <c r="Q11" s="258"/>
      <c r="R11" s="258"/>
    </row>
    <row r="12" spans="1:18" x14ac:dyDescent="0.25">
      <c r="A12" s="260"/>
      <c r="B12" s="262">
        <v>9</v>
      </c>
      <c r="C12" s="196">
        <v>43884</v>
      </c>
      <c r="D12" s="197">
        <v>35</v>
      </c>
      <c r="E12" s="198">
        <f t="shared" si="1"/>
        <v>0</v>
      </c>
      <c r="F12" s="504"/>
      <c r="G12" s="195">
        <f t="shared" si="0"/>
        <v>5.3</v>
      </c>
      <c r="H12" s="539"/>
      <c r="I12" s="539"/>
      <c r="J12" s="539"/>
      <c r="K12" s="545"/>
      <c r="L12" s="539"/>
      <c r="M12" s="172"/>
      <c r="N12" s="172"/>
      <c r="O12" s="172"/>
      <c r="P12" s="172"/>
      <c r="Q12" s="258"/>
      <c r="R12" s="258"/>
    </row>
    <row r="13" spans="1:18" ht="19.5" thickBot="1" x14ac:dyDescent="0.3">
      <c r="A13" s="260"/>
      <c r="B13" s="263">
        <v>10</v>
      </c>
      <c r="C13" s="200">
        <v>43885</v>
      </c>
      <c r="D13" s="201">
        <v>53</v>
      </c>
      <c r="E13" s="202">
        <f t="shared" si="1"/>
        <v>18</v>
      </c>
      <c r="F13" s="505"/>
      <c r="G13" s="195">
        <f t="shared" si="0"/>
        <v>5.3</v>
      </c>
      <c r="H13" s="540"/>
      <c r="I13" s="540"/>
      <c r="J13" s="540"/>
      <c r="K13" s="546"/>
      <c r="L13" s="540"/>
      <c r="M13" s="172"/>
      <c r="N13" s="172"/>
      <c r="O13" s="172"/>
      <c r="P13" s="172"/>
      <c r="Q13" s="258"/>
      <c r="R13" s="258"/>
    </row>
    <row r="14" spans="1:18" x14ac:dyDescent="0.25">
      <c r="A14" s="260"/>
      <c r="B14" s="261">
        <v>11</v>
      </c>
      <c r="C14" s="192">
        <v>43886</v>
      </c>
      <c r="D14" s="193">
        <v>57</v>
      </c>
      <c r="E14" s="194">
        <f t="shared" si="1"/>
        <v>4</v>
      </c>
      <c r="F14" s="503">
        <f>SUM(E14:E23)</f>
        <v>168</v>
      </c>
      <c r="G14" s="195">
        <f>F$14/10</f>
        <v>16.8</v>
      </c>
      <c r="H14" s="538">
        <f>SUM(G14:G23)</f>
        <v>168.00000000000003</v>
      </c>
      <c r="I14" s="538">
        <v>0</v>
      </c>
      <c r="J14" s="538">
        <v>12</v>
      </c>
      <c r="K14" s="596">
        <f>H14/(H4-I4-J4)</f>
        <v>3.1698113207547181</v>
      </c>
      <c r="L14" s="538">
        <f>H14*0.05</f>
        <v>8.4000000000000021</v>
      </c>
      <c r="M14" s="172"/>
      <c r="N14" s="172"/>
      <c r="O14" s="172"/>
      <c r="P14" s="172"/>
      <c r="Q14" s="258"/>
      <c r="R14" s="258"/>
    </row>
    <row r="15" spans="1:18" x14ac:dyDescent="0.25">
      <c r="A15" s="260"/>
      <c r="B15" s="262">
        <v>12</v>
      </c>
      <c r="C15" s="196">
        <v>43887</v>
      </c>
      <c r="D15" s="197">
        <v>60</v>
      </c>
      <c r="E15" s="198">
        <f t="shared" si="1"/>
        <v>3</v>
      </c>
      <c r="F15" s="504"/>
      <c r="G15" s="195">
        <f t="shared" ref="G15:G23" si="2">F$14/10</f>
        <v>16.8</v>
      </c>
      <c r="H15" s="539"/>
      <c r="I15" s="539"/>
      <c r="J15" s="539"/>
      <c r="K15" s="597"/>
      <c r="L15" s="539"/>
      <c r="M15" s="172"/>
      <c r="N15" s="172"/>
      <c r="O15" s="172"/>
      <c r="P15" s="172"/>
      <c r="Q15" s="258"/>
      <c r="R15" s="258"/>
    </row>
    <row r="16" spans="1:18" x14ac:dyDescent="0.25">
      <c r="A16" s="260"/>
      <c r="B16" s="262">
        <v>13</v>
      </c>
      <c r="C16" s="196">
        <v>43888</v>
      </c>
      <c r="D16" s="197">
        <v>60</v>
      </c>
      <c r="E16" s="198">
        <f t="shared" si="1"/>
        <v>0</v>
      </c>
      <c r="F16" s="504"/>
      <c r="G16" s="195">
        <f t="shared" si="2"/>
        <v>16.8</v>
      </c>
      <c r="H16" s="539"/>
      <c r="I16" s="539"/>
      <c r="J16" s="539"/>
      <c r="K16" s="597"/>
      <c r="L16" s="539"/>
      <c r="M16" s="172"/>
      <c r="N16" s="172"/>
      <c r="O16" s="172"/>
      <c r="P16" s="172"/>
      <c r="Q16" s="258"/>
      <c r="R16" s="258"/>
    </row>
    <row r="17" spans="1:24" s="52" customFormat="1" x14ac:dyDescent="0.3">
      <c r="A17" s="260"/>
      <c r="B17" s="262">
        <v>14</v>
      </c>
      <c r="C17" s="196">
        <v>43889</v>
      </c>
      <c r="D17" s="197">
        <v>63</v>
      </c>
      <c r="E17" s="198">
        <f t="shared" si="1"/>
        <v>3</v>
      </c>
      <c r="F17" s="504"/>
      <c r="G17" s="195">
        <f t="shared" si="2"/>
        <v>16.8</v>
      </c>
      <c r="H17" s="539"/>
      <c r="I17" s="539"/>
      <c r="J17" s="539"/>
      <c r="K17" s="597"/>
      <c r="L17" s="539"/>
      <c r="M17" s="172"/>
      <c r="N17" s="172"/>
      <c r="O17" s="172"/>
      <c r="P17" s="172"/>
      <c r="Q17" s="258"/>
      <c r="R17" s="258"/>
      <c r="S17" s="31"/>
      <c r="T17" s="31"/>
      <c r="U17" s="31"/>
      <c r="V17" s="2"/>
      <c r="W17" s="2"/>
      <c r="X17" s="2"/>
    </row>
    <row r="18" spans="1:24" s="52" customFormat="1" x14ac:dyDescent="0.3">
      <c r="A18" s="260"/>
      <c r="B18" s="262">
        <v>15</v>
      </c>
      <c r="C18" s="196">
        <v>43890</v>
      </c>
      <c r="D18" s="197">
        <v>68</v>
      </c>
      <c r="E18" s="198">
        <f t="shared" si="1"/>
        <v>5</v>
      </c>
      <c r="F18" s="504"/>
      <c r="G18" s="195">
        <f t="shared" si="2"/>
        <v>16.8</v>
      </c>
      <c r="H18" s="539"/>
      <c r="I18" s="539"/>
      <c r="J18" s="539"/>
      <c r="K18" s="597"/>
      <c r="L18" s="539"/>
      <c r="M18" s="172"/>
      <c r="N18" s="172"/>
      <c r="O18" s="172"/>
      <c r="P18" s="172"/>
      <c r="Q18" s="258"/>
      <c r="R18" s="258"/>
      <c r="S18" s="31"/>
      <c r="T18" s="31"/>
      <c r="U18" s="31"/>
      <c r="V18" s="2"/>
      <c r="W18" s="2"/>
      <c r="X18" s="2"/>
    </row>
    <row r="19" spans="1:24" s="52" customFormat="1" x14ac:dyDescent="0.3">
      <c r="A19" s="260"/>
      <c r="B19" s="262">
        <v>16</v>
      </c>
      <c r="C19" s="196">
        <v>43891</v>
      </c>
      <c r="D19" s="197">
        <v>75</v>
      </c>
      <c r="E19" s="198">
        <f t="shared" si="1"/>
        <v>7</v>
      </c>
      <c r="F19" s="504"/>
      <c r="G19" s="195">
        <f t="shared" si="2"/>
        <v>16.8</v>
      </c>
      <c r="H19" s="539"/>
      <c r="I19" s="539"/>
      <c r="J19" s="539"/>
      <c r="K19" s="597"/>
      <c r="L19" s="539"/>
      <c r="M19" s="172"/>
      <c r="N19" s="172"/>
      <c r="O19" s="172"/>
      <c r="P19" s="172"/>
      <c r="Q19" s="258"/>
      <c r="R19" s="258"/>
      <c r="S19" s="31"/>
      <c r="T19" s="31"/>
      <c r="U19" s="31"/>
      <c r="V19" s="2"/>
      <c r="W19" s="2"/>
      <c r="X19" s="2"/>
    </row>
    <row r="20" spans="1:24" s="52" customFormat="1" x14ac:dyDescent="0.3">
      <c r="A20" s="260"/>
      <c r="B20" s="262">
        <v>17</v>
      </c>
      <c r="C20" s="196">
        <v>43892</v>
      </c>
      <c r="D20" s="197">
        <v>100</v>
      </c>
      <c r="E20" s="198">
        <f t="shared" si="1"/>
        <v>25</v>
      </c>
      <c r="F20" s="504"/>
      <c r="G20" s="195">
        <f t="shared" si="2"/>
        <v>16.8</v>
      </c>
      <c r="H20" s="539"/>
      <c r="I20" s="539"/>
      <c r="J20" s="539"/>
      <c r="K20" s="597"/>
      <c r="L20" s="539"/>
      <c r="M20" s="172"/>
      <c r="N20" s="172"/>
      <c r="O20" s="172"/>
      <c r="P20" s="172"/>
      <c r="Q20" s="258"/>
      <c r="R20" s="258"/>
      <c r="S20" s="31"/>
      <c r="T20" s="31"/>
      <c r="U20" s="31"/>
      <c r="V20" s="2"/>
      <c r="W20" s="2"/>
      <c r="X20" s="2"/>
    </row>
    <row r="21" spans="1:24" s="52" customFormat="1" x14ac:dyDescent="0.3">
      <c r="A21" s="260"/>
      <c r="B21" s="262">
        <v>18</v>
      </c>
      <c r="C21" s="196">
        <v>43893</v>
      </c>
      <c r="D21" s="197">
        <v>124</v>
      </c>
      <c r="E21" s="198">
        <f t="shared" si="1"/>
        <v>24</v>
      </c>
      <c r="F21" s="504"/>
      <c r="G21" s="195">
        <f t="shared" si="2"/>
        <v>16.8</v>
      </c>
      <c r="H21" s="539"/>
      <c r="I21" s="539"/>
      <c r="J21" s="539"/>
      <c r="K21" s="597"/>
      <c r="L21" s="539"/>
      <c r="M21" s="172"/>
      <c r="N21" s="172"/>
      <c r="O21" s="172"/>
      <c r="P21" s="172"/>
      <c r="Q21" s="258"/>
      <c r="R21" s="258"/>
      <c r="S21" s="31"/>
      <c r="T21" s="31"/>
      <c r="U21" s="31"/>
      <c r="V21" s="2"/>
      <c r="W21" s="2"/>
      <c r="X21" s="2"/>
    </row>
    <row r="22" spans="1:24" s="52" customFormat="1" x14ac:dyDescent="0.3">
      <c r="A22" s="260"/>
      <c r="B22" s="262">
        <v>19</v>
      </c>
      <c r="C22" s="196">
        <v>43894</v>
      </c>
      <c r="D22" s="197">
        <v>158</v>
      </c>
      <c r="E22" s="198">
        <f t="shared" si="1"/>
        <v>34</v>
      </c>
      <c r="F22" s="504"/>
      <c r="G22" s="195">
        <f t="shared" si="2"/>
        <v>16.8</v>
      </c>
      <c r="H22" s="539"/>
      <c r="I22" s="539"/>
      <c r="J22" s="539"/>
      <c r="K22" s="597"/>
      <c r="L22" s="539"/>
      <c r="M22" s="172"/>
      <c r="N22" s="172"/>
      <c r="O22" s="172"/>
      <c r="P22" s="172"/>
      <c r="Q22" s="258"/>
      <c r="R22" s="258"/>
      <c r="S22" s="31"/>
      <c r="T22" s="31"/>
      <c r="U22" s="31"/>
      <c r="V22" s="2"/>
      <c r="W22" s="2"/>
      <c r="X22" s="2"/>
    </row>
    <row r="23" spans="1:24" s="52" customFormat="1" ht="19.5" thickBot="1" x14ac:dyDescent="0.35">
      <c r="A23" s="260"/>
      <c r="B23" s="263">
        <v>20</v>
      </c>
      <c r="C23" s="200">
        <v>43895</v>
      </c>
      <c r="D23" s="201">
        <v>221</v>
      </c>
      <c r="E23" s="202">
        <f t="shared" si="1"/>
        <v>63</v>
      </c>
      <c r="F23" s="505"/>
      <c r="G23" s="195">
        <f t="shared" si="2"/>
        <v>16.8</v>
      </c>
      <c r="H23" s="540"/>
      <c r="I23" s="540"/>
      <c r="J23" s="540"/>
      <c r="K23" s="598"/>
      <c r="L23" s="540"/>
      <c r="M23" s="172"/>
      <c r="N23" s="172"/>
      <c r="O23" s="172"/>
      <c r="P23" s="172"/>
      <c r="Q23" s="258"/>
      <c r="R23" s="258"/>
      <c r="S23" s="31"/>
      <c r="T23" s="31"/>
      <c r="U23" s="31"/>
      <c r="V23" s="2"/>
      <c r="W23" s="2"/>
      <c r="X23" s="2"/>
    </row>
    <row r="24" spans="1:24" s="52" customFormat="1" x14ac:dyDescent="0.3">
      <c r="A24" s="260"/>
      <c r="B24" s="261">
        <v>21</v>
      </c>
      <c r="C24" s="192">
        <v>43896</v>
      </c>
      <c r="D24" s="193">
        <v>319</v>
      </c>
      <c r="E24" s="194">
        <f t="shared" si="1"/>
        <v>98</v>
      </c>
      <c r="F24" s="503">
        <f>SUM(E24:E33)</f>
        <v>3392</v>
      </c>
      <c r="G24" s="195">
        <f>F$24/10</f>
        <v>339.2</v>
      </c>
      <c r="H24" s="538">
        <f>SUM(G24:G33)</f>
        <v>3391.9999999999995</v>
      </c>
      <c r="I24" s="538">
        <v>0</v>
      </c>
      <c r="J24" s="538">
        <v>42</v>
      </c>
      <c r="K24" s="596">
        <f>H24/SUM(H14+H4-I14-I4-J14-J4)</f>
        <v>16.229665071770331</v>
      </c>
      <c r="L24" s="538">
        <f>H24*0.05</f>
        <v>169.6</v>
      </c>
      <c r="M24" s="172"/>
      <c r="N24" s="172"/>
      <c r="O24" s="172"/>
      <c r="P24" s="172"/>
      <c r="Q24" s="258"/>
      <c r="R24" s="258"/>
      <c r="S24" s="31"/>
      <c r="T24" s="31"/>
      <c r="U24" s="31"/>
      <c r="V24" s="2"/>
      <c r="W24" s="2"/>
      <c r="X24" s="2"/>
    </row>
    <row r="25" spans="1:24" s="52" customFormat="1" x14ac:dyDescent="0.3">
      <c r="A25" s="260"/>
      <c r="B25" s="262">
        <v>22</v>
      </c>
      <c r="C25" s="196">
        <v>43897</v>
      </c>
      <c r="D25" s="197">
        <v>435</v>
      </c>
      <c r="E25" s="198">
        <f t="shared" si="1"/>
        <v>116</v>
      </c>
      <c r="F25" s="504"/>
      <c r="G25" s="195">
        <f t="shared" ref="G25:G33" si="3">F$24/10</f>
        <v>339.2</v>
      </c>
      <c r="H25" s="539"/>
      <c r="I25" s="539"/>
      <c r="J25" s="539"/>
      <c r="K25" s="597"/>
      <c r="L25" s="539"/>
      <c r="M25" s="172"/>
      <c r="N25" s="172"/>
      <c r="O25" s="172"/>
      <c r="P25" s="172"/>
      <c r="Q25" s="258"/>
      <c r="R25" s="258"/>
      <c r="S25" s="31"/>
      <c r="T25" s="31"/>
      <c r="U25" s="31"/>
      <c r="V25" s="2"/>
      <c r="W25" s="2"/>
      <c r="X25" s="2"/>
    </row>
    <row r="26" spans="1:24" s="52" customFormat="1" ht="23.25" customHeight="1" x14ac:dyDescent="0.3">
      <c r="A26" s="260"/>
      <c r="B26" s="262">
        <v>23</v>
      </c>
      <c r="C26" s="196">
        <v>43898</v>
      </c>
      <c r="D26" s="197">
        <v>541</v>
      </c>
      <c r="E26" s="198">
        <f t="shared" si="1"/>
        <v>106</v>
      </c>
      <c r="F26" s="504"/>
      <c r="G26" s="195">
        <f t="shared" si="3"/>
        <v>339.2</v>
      </c>
      <c r="H26" s="539"/>
      <c r="I26" s="539"/>
      <c r="J26" s="539"/>
      <c r="K26" s="597"/>
      <c r="L26" s="539"/>
      <c r="M26" s="172"/>
      <c r="N26" s="172"/>
      <c r="O26" s="172"/>
      <c r="P26" s="172"/>
      <c r="Q26" s="258"/>
      <c r="R26" s="258"/>
      <c r="S26" s="31"/>
      <c r="T26" s="31"/>
      <c r="U26" s="31"/>
      <c r="V26" s="2"/>
      <c r="W26" s="2"/>
      <c r="X26" s="2"/>
    </row>
    <row r="27" spans="1:24" s="52" customFormat="1" x14ac:dyDescent="0.3">
      <c r="A27" s="260"/>
      <c r="B27" s="262">
        <v>24</v>
      </c>
      <c r="C27" s="196">
        <v>43899</v>
      </c>
      <c r="D27" s="213">
        <v>704</v>
      </c>
      <c r="E27" s="198">
        <f t="shared" si="1"/>
        <v>163</v>
      </c>
      <c r="F27" s="504"/>
      <c r="G27" s="195">
        <f t="shared" si="3"/>
        <v>339.2</v>
      </c>
      <c r="H27" s="539"/>
      <c r="I27" s="539"/>
      <c r="J27" s="539"/>
      <c r="K27" s="597"/>
      <c r="L27" s="539"/>
      <c r="M27" s="172"/>
      <c r="N27" s="172"/>
      <c r="O27" s="172"/>
      <c r="P27" s="172"/>
      <c r="Q27" s="258"/>
      <c r="R27" s="258"/>
      <c r="S27" s="31"/>
      <c r="T27" s="31"/>
      <c r="U27" s="31"/>
      <c r="V27" s="2"/>
      <c r="W27" s="2"/>
      <c r="X27" s="2"/>
    </row>
    <row r="28" spans="1:24" s="52" customFormat="1" x14ac:dyDescent="0.3">
      <c r="A28" s="260"/>
      <c r="B28" s="262">
        <v>25</v>
      </c>
      <c r="C28" s="196">
        <v>43900</v>
      </c>
      <c r="D28" s="213">
        <v>994</v>
      </c>
      <c r="E28" s="198">
        <f t="shared" si="1"/>
        <v>290</v>
      </c>
      <c r="F28" s="504"/>
      <c r="G28" s="195">
        <f t="shared" si="3"/>
        <v>339.2</v>
      </c>
      <c r="H28" s="539"/>
      <c r="I28" s="539"/>
      <c r="J28" s="539"/>
      <c r="K28" s="597"/>
      <c r="L28" s="539"/>
      <c r="M28" s="172"/>
      <c r="N28" s="172"/>
      <c r="O28" s="172"/>
      <c r="P28" s="172"/>
      <c r="Q28" s="258"/>
      <c r="R28" s="258"/>
      <c r="S28" s="31"/>
      <c r="T28" s="31"/>
      <c r="U28" s="31"/>
      <c r="V28" s="2"/>
      <c r="W28" s="2"/>
      <c r="X28" s="2"/>
    </row>
    <row r="29" spans="1:24" s="52" customFormat="1" x14ac:dyDescent="0.3">
      <c r="A29" s="260"/>
      <c r="B29" s="262">
        <v>26</v>
      </c>
      <c r="C29" s="196">
        <v>43901</v>
      </c>
      <c r="D29" s="213">
        <v>1301</v>
      </c>
      <c r="E29" s="198">
        <f t="shared" si="1"/>
        <v>307</v>
      </c>
      <c r="F29" s="504"/>
      <c r="G29" s="195">
        <f t="shared" si="3"/>
        <v>339.2</v>
      </c>
      <c r="H29" s="539"/>
      <c r="I29" s="539"/>
      <c r="J29" s="539"/>
      <c r="K29" s="597"/>
      <c r="L29" s="539"/>
      <c r="M29" s="172"/>
      <c r="N29" s="172"/>
      <c r="O29" s="172"/>
      <c r="P29" s="172"/>
      <c r="Q29" s="258"/>
      <c r="R29" s="258"/>
      <c r="S29" s="31"/>
      <c r="T29" s="31"/>
      <c r="U29" s="31"/>
      <c r="V29" s="2"/>
      <c r="W29" s="2"/>
      <c r="X29" s="2"/>
    </row>
    <row r="30" spans="1:24" s="52" customFormat="1" x14ac:dyDescent="0.3">
      <c r="A30" s="279"/>
      <c r="B30" s="262">
        <v>27</v>
      </c>
      <c r="C30" s="196">
        <v>43902</v>
      </c>
      <c r="D30" s="213">
        <v>1630</v>
      </c>
      <c r="E30" s="198">
        <f t="shared" si="1"/>
        <v>329</v>
      </c>
      <c r="F30" s="504"/>
      <c r="G30" s="195">
        <f t="shared" si="3"/>
        <v>339.2</v>
      </c>
      <c r="H30" s="539"/>
      <c r="I30" s="539"/>
      <c r="J30" s="539"/>
      <c r="K30" s="597"/>
      <c r="L30" s="539"/>
      <c r="M30" s="172"/>
      <c r="N30" s="172"/>
      <c r="O30" s="172"/>
      <c r="P30" s="172"/>
      <c r="Q30" s="258"/>
      <c r="R30" s="258"/>
      <c r="S30" s="31"/>
      <c r="T30" s="31"/>
      <c r="U30" s="31"/>
      <c r="V30" s="2"/>
      <c r="W30" s="2"/>
      <c r="X30" s="2"/>
    </row>
    <row r="31" spans="1:24" s="52" customFormat="1" x14ac:dyDescent="0.3">
      <c r="A31" s="260"/>
      <c r="B31" s="215">
        <v>28</v>
      </c>
      <c r="C31" s="219">
        <v>43903</v>
      </c>
      <c r="D31" s="213">
        <v>2183</v>
      </c>
      <c r="E31" s="198">
        <f t="shared" si="1"/>
        <v>553</v>
      </c>
      <c r="F31" s="504"/>
      <c r="G31" s="195">
        <f t="shared" si="3"/>
        <v>339.2</v>
      </c>
      <c r="H31" s="539"/>
      <c r="I31" s="539"/>
      <c r="J31" s="539"/>
      <c r="K31" s="597"/>
      <c r="L31" s="539"/>
      <c r="M31" s="172"/>
      <c r="N31" s="172"/>
      <c r="O31" s="172"/>
      <c r="P31" s="172"/>
      <c r="Q31" s="258"/>
      <c r="R31" s="258"/>
      <c r="S31" s="31"/>
      <c r="T31" s="31"/>
      <c r="U31" s="31"/>
      <c r="V31" s="2"/>
      <c r="W31" s="2"/>
      <c r="X31" s="2"/>
    </row>
    <row r="32" spans="1:24" s="52" customFormat="1" x14ac:dyDescent="0.3">
      <c r="A32" s="260"/>
      <c r="B32" s="262">
        <v>29</v>
      </c>
      <c r="C32" s="196">
        <v>43904</v>
      </c>
      <c r="D32" s="213">
        <v>2770</v>
      </c>
      <c r="E32" s="198">
        <f t="shared" si="1"/>
        <v>587</v>
      </c>
      <c r="F32" s="504"/>
      <c r="G32" s="195">
        <f t="shared" si="3"/>
        <v>339.2</v>
      </c>
      <c r="H32" s="539"/>
      <c r="I32" s="539"/>
      <c r="J32" s="539"/>
      <c r="K32" s="597"/>
      <c r="L32" s="539"/>
      <c r="M32" s="172"/>
      <c r="N32" s="172"/>
      <c r="O32" s="172"/>
      <c r="P32" s="172"/>
      <c r="Q32" s="258"/>
      <c r="R32" s="258"/>
      <c r="S32" s="31"/>
      <c r="T32" s="31"/>
      <c r="U32" s="31"/>
      <c r="V32" s="2"/>
      <c r="W32" s="2"/>
      <c r="X32" s="2"/>
    </row>
    <row r="33" spans="1:24" s="31" customFormat="1" ht="19.5" thickBot="1" x14ac:dyDescent="0.3">
      <c r="A33" s="260"/>
      <c r="B33" s="263">
        <v>30</v>
      </c>
      <c r="C33" s="203">
        <v>43905</v>
      </c>
      <c r="D33" s="217">
        <v>3613</v>
      </c>
      <c r="E33" s="218">
        <f t="shared" si="1"/>
        <v>843</v>
      </c>
      <c r="F33" s="505"/>
      <c r="G33" s="195">
        <f t="shared" si="3"/>
        <v>339.2</v>
      </c>
      <c r="H33" s="540"/>
      <c r="I33" s="540"/>
      <c r="J33" s="540"/>
      <c r="K33" s="598"/>
      <c r="L33" s="540"/>
      <c r="M33" s="172"/>
      <c r="N33" s="172"/>
      <c r="O33" s="172"/>
      <c r="P33" s="172"/>
      <c r="Q33" s="258"/>
      <c r="R33" s="258"/>
      <c r="V33" s="2"/>
      <c r="W33" s="2"/>
      <c r="X33" s="2"/>
    </row>
    <row r="34" spans="1:24" s="31" customFormat="1" x14ac:dyDescent="0.25">
      <c r="A34" s="260"/>
      <c r="B34" s="264">
        <v>31</v>
      </c>
      <c r="C34" s="210">
        <v>43906</v>
      </c>
      <c r="D34" s="205">
        <v>4596</v>
      </c>
      <c r="E34" s="194">
        <f t="shared" si="1"/>
        <v>983</v>
      </c>
      <c r="F34" s="503">
        <f>SUM(E34:E43)</f>
        <v>64598</v>
      </c>
      <c r="G34" s="195">
        <f>F$34/10</f>
        <v>6459.8</v>
      </c>
      <c r="H34" s="538">
        <f>SUM(G34:G43)</f>
        <v>64598.000000000015</v>
      </c>
      <c r="I34" s="538">
        <v>0</v>
      </c>
      <c r="J34" s="538">
        <v>877</v>
      </c>
      <c r="K34" s="596">
        <f>H34/SUM(H24+H14+H4-I24-I14-I4-J24-J14-J4)</f>
        <v>18.150604102275928</v>
      </c>
      <c r="L34" s="538">
        <f>H34*0.05</f>
        <v>3229.900000000001</v>
      </c>
      <c r="M34" s="172"/>
      <c r="N34" s="172"/>
      <c r="O34" s="172"/>
      <c r="P34" s="172"/>
      <c r="Q34" s="258"/>
      <c r="R34" s="258"/>
      <c r="V34" s="2"/>
      <c r="W34" s="2"/>
      <c r="X34" s="2"/>
    </row>
    <row r="35" spans="1:24" s="31" customFormat="1" ht="19.5" thickBot="1" x14ac:dyDescent="0.3">
      <c r="A35" s="260"/>
      <c r="B35" s="265">
        <v>32</v>
      </c>
      <c r="C35" s="268">
        <v>43907</v>
      </c>
      <c r="D35" s="208">
        <v>6344</v>
      </c>
      <c r="E35" s="198">
        <f t="shared" si="1"/>
        <v>1748</v>
      </c>
      <c r="F35" s="504"/>
      <c r="G35" s="195">
        <f t="shared" ref="G35:G43" si="4">F$34/10</f>
        <v>6459.8</v>
      </c>
      <c r="H35" s="539"/>
      <c r="I35" s="539"/>
      <c r="J35" s="539"/>
      <c r="K35" s="597"/>
      <c r="L35" s="539"/>
      <c r="M35" s="172"/>
      <c r="N35" s="172"/>
      <c r="O35" s="172"/>
      <c r="P35" s="172"/>
      <c r="Q35" s="258"/>
      <c r="R35" s="258"/>
      <c r="V35" s="2"/>
      <c r="W35" s="2"/>
      <c r="X35" s="2"/>
    </row>
    <row r="36" spans="1:24" s="31" customFormat="1" ht="15.75" x14ac:dyDescent="0.25">
      <c r="A36" s="260"/>
      <c r="B36" s="265">
        <v>33</v>
      </c>
      <c r="C36" s="209">
        <v>43908</v>
      </c>
      <c r="D36" s="208">
        <v>9197</v>
      </c>
      <c r="E36" s="198">
        <f t="shared" si="1"/>
        <v>2853</v>
      </c>
      <c r="F36" s="504"/>
      <c r="G36" s="195">
        <f t="shared" si="4"/>
        <v>6459.8</v>
      </c>
      <c r="H36" s="539"/>
      <c r="I36" s="539"/>
      <c r="J36" s="539"/>
      <c r="K36" s="597"/>
      <c r="L36" s="599"/>
      <c r="M36" s="360"/>
      <c r="N36" s="360"/>
      <c r="O36" s="360"/>
      <c r="P36" s="360"/>
      <c r="Q36" s="360"/>
      <c r="R36" s="360"/>
      <c r="V36" s="2"/>
      <c r="W36" s="2"/>
      <c r="X36" s="2"/>
    </row>
    <row r="37" spans="1:24" s="31" customFormat="1" ht="16.5" thickBot="1" x14ac:dyDescent="0.3">
      <c r="A37" s="260"/>
      <c r="B37" s="265">
        <v>34</v>
      </c>
      <c r="C37" s="206">
        <v>43909</v>
      </c>
      <c r="D37" s="208">
        <v>13779</v>
      </c>
      <c r="E37" s="198">
        <f t="shared" si="1"/>
        <v>4582</v>
      </c>
      <c r="F37" s="504"/>
      <c r="G37" s="195">
        <f t="shared" si="4"/>
        <v>6459.8</v>
      </c>
      <c r="H37" s="539"/>
      <c r="I37" s="539"/>
      <c r="J37" s="539"/>
      <c r="K37" s="597"/>
      <c r="L37" s="599"/>
      <c r="M37" s="360"/>
      <c r="N37" s="360"/>
      <c r="O37" s="360"/>
      <c r="P37" s="360"/>
      <c r="Q37" s="360"/>
      <c r="R37" s="360"/>
      <c r="V37" s="2"/>
      <c r="W37" s="2"/>
      <c r="X37" s="2"/>
    </row>
    <row r="38" spans="1:24" s="31" customFormat="1" ht="15.75" x14ac:dyDescent="0.25">
      <c r="A38" s="260"/>
      <c r="B38" s="265">
        <v>35</v>
      </c>
      <c r="C38" s="204">
        <v>43910</v>
      </c>
      <c r="D38" s="208">
        <v>19367</v>
      </c>
      <c r="E38" s="198">
        <f t="shared" si="1"/>
        <v>5588</v>
      </c>
      <c r="F38" s="504"/>
      <c r="G38" s="195">
        <f t="shared" si="4"/>
        <v>6459.8</v>
      </c>
      <c r="H38" s="539"/>
      <c r="I38" s="539"/>
      <c r="J38" s="539"/>
      <c r="K38" s="597"/>
      <c r="L38" s="599"/>
      <c r="M38" s="360"/>
      <c r="N38" s="360"/>
      <c r="O38" s="360"/>
      <c r="P38" s="360"/>
      <c r="Q38" s="360"/>
      <c r="R38" s="360"/>
      <c r="V38" s="2"/>
      <c r="W38" s="2"/>
      <c r="X38" s="2"/>
    </row>
    <row r="39" spans="1:24" s="31" customFormat="1" ht="16.5" thickBot="1" x14ac:dyDescent="0.3">
      <c r="A39" s="260"/>
      <c r="B39" s="265">
        <v>36</v>
      </c>
      <c r="C39" s="206">
        <v>43911</v>
      </c>
      <c r="D39" s="208">
        <v>24192</v>
      </c>
      <c r="E39" s="198">
        <f t="shared" si="1"/>
        <v>4825</v>
      </c>
      <c r="F39" s="504"/>
      <c r="G39" s="195">
        <f t="shared" si="4"/>
        <v>6459.8</v>
      </c>
      <c r="H39" s="539"/>
      <c r="I39" s="539"/>
      <c r="J39" s="539"/>
      <c r="K39" s="597"/>
      <c r="L39" s="599"/>
      <c r="M39" s="360"/>
      <c r="N39" s="360"/>
      <c r="O39" s="360"/>
      <c r="P39" s="360"/>
      <c r="Q39" s="360"/>
      <c r="R39" s="360"/>
      <c r="V39" s="2"/>
      <c r="W39" s="2"/>
      <c r="X39" s="2"/>
    </row>
    <row r="40" spans="1:24" s="31" customFormat="1" ht="15.75" x14ac:dyDescent="0.25">
      <c r="A40" s="266">
        <v>1</v>
      </c>
      <c r="B40" s="265">
        <v>37</v>
      </c>
      <c r="C40" s="267">
        <v>43912</v>
      </c>
      <c r="D40" s="208">
        <v>33592</v>
      </c>
      <c r="E40" s="198">
        <f t="shared" si="1"/>
        <v>9400</v>
      </c>
      <c r="F40" s="504"/>
      <c r="G40" s="195">
        <f t="shared" si="4"/>
        <v>6459.8</v>
      </c>
      <c r="H40" s="539"/>
      <c r="I40" s="539"/>
      <c r="J40" s="539"/>
      <c r="K40" s="597"/>
      <c r="L40" s="599"/>
      <c r="M40" s="360"/>
      <c r="N40" s="360"/>
      <c r="O40" s="360"/>
      <c r="P40" s="360"/>
      <c r="Q40" s="360"/>
      <c r="R40" s="360"/>
      <c r="V40" s="2"/>
      <c r="W40" s="2"/>
      <c r="X40" s="2"/>
    </row>
    <row r="41" spans="1:24" s="31" customFormat="1" ht="16.5" thickBot="1" x14ac:dyDescent="0.3">
      <c r="A41" s="260">
        <v>2</v>
      </c>
      <c r="B41" s="265">
        <v>38</v>
      </c>
      <c r="C41" s="206">
        <v>43913</v>
      </c>
      <c r="D41" s="208">
        <v>43781</v>
      </c>
      <c r="E41" s="198">
        <f t="shared" si="1"/>
        <v>10189</v>
      </c>
      <c r="F41" s="504"/>
      <c r="G41" s="195">
        <f t="shared" si="4"/>
        <v>6459.8</v>
      </c>
      <c r="H41" s="539"/>
      <c r="I41" s="539"/>
      <c r="J41" s="539"/>
      <c r="K41" s="597"/>
      <c r="L41" s="599"/>
      <c r="M41" s="360"/>
      <c r="N41" s="360"/>
      <c r="O41" s="360"/>
      <c r="P41" s="360"/>
      <c r="Q41" s="360"/>
      <c r="R41" s="360"/>
      <c r="V41" s="2"/>
      <c r="W41" s="2"/>
      <c r="X41" s="2"/>
    </row>
    <row r="42" spans="1:24" s="31" customFormat="1" x14ac:dyDescent="0.25">
      <c r="A42" s="260">
        <v>3</v>
      </c>
      <c r="B42" s="265">
        <v>39</v>
      </c>
      <c r="C42" s="204">
        <v>43914</v>
      </c>
      <c r="D42" s="208">
        <v>54856</v>
      </c>
      <c r="E42" s="198">
        <f t="shared" si="1"/>
        <v>11075</v>
      </c>
      <c r="F42" s="504"/>
      <c r="G42" s="195">
        <f t="shared" si="4"/>
        <v>6459.8</v>
      </c>
      <c r="H42" s="539"/>
      <c r="I42" s="539"/>
      <c r="J42" s="539"/>
      <c r="K42" s="597"/>
      <c r="L42" s="539"/>
      <c r="M42" s="172"/>
      <c r="N42" s="172"/>
      <c r="O42" s="172"/>
      <c r="P42" s="172"/>
      <c r="Q42" s="258"/>
      <c r="R42" s="258"/>
      <c r="V42" s="2"/>
      <c r="W42" s="2"/>
      <c r="X42" s="2"/>
    </row>
    <row r="43" spans="1:24" s="31" customFormat="1" ht="19.5" thickBot="1" x14ac:dyDescent="0.3">
      <c r="A43" s="260">
        <v>4</v>
      </c>
      <c r="B43" s="270">
        <v>40</v>
      </c>
      <c r="C43" s="206">
        <v>43915</v>
      </c>
      <c r="D43" s="212">
        <v>68211</v>
      </c>
      <c r="E43" s="202">
        <f t="shared" si="1"/>
        <v>13355</v>
      </c>
      <c r="F43" s="505"/>
      <c r="G43" s="195">
        <f t="shared" si="4"/>
        <v>6459.8</v>
      </c>
      <c r="H43" s="540"/>
      <c r="I43" s="540"/>
      <c r="J43" s="540"/>
      <c r="K43" s="598"/>
      <c r="L43" s="540"/>
      <c r="M43" s="172"/>
      <c r="N43" s="172"/>
      <c r="O43" s="172"/>
      <c r="P43" s="172"/>
      <c r="Q43" s="258"/>
      <c r="R43" s="258"/>
      <c r="V43" s="2"/>
      <c r="W43" s="2"/>
      <c r="X43" s="2"/>
    </row>
    <row r="44" spans="1:24" s="31" customFormat="1" x14ac:dyDescent="0.25">
      <c r="A44" s="260">
        <v>5</v>
      </c>
      <c r="B44" s="261">
        <v>41</v>
      </c>
      <c r="C44" s="272">
        <v>43916</v>
      </c>
      <c r="D44" s="273">
        <v>85435</v>
      </c>
      <c r="E44" s="328">
        <v>17224</v>
      </c>
      <c r="F44" s="541">
        <f>SUM(E44:E53)</f>
        <v>243146</v>
      </c>
      <c r="G44" s="275">
        <f>H$44/10</f>
        <v>24314.6</v>
      </c>
      <c r="H44" s="538">
        <v>243146</v>
      </c>
      <c r="I44" s="538"/>
      <c r="J44" s="538"/>
      <c r="K44" s="600">
        <f>H44/SUM(H34+H24+H14+H4-I34-I24-I14-I4-J34-J24-J14-J4)</f>
        <v>3.6139417360285369</v>
      </c>
      <c r="L44" s="607">
        <f>H44*0.05</f>
        <v>12157.300000000001</v>
      </c>
      <c r="M44" s="172"/>
      <c r="N44" s="172"/>
      <c r="O44" s="172"/>
      <c r="P44" s="172"/>
      <c r="Q44" s="258"/>
      <c r="R44" s="258"/>
      <c r="V44" s="2"/>
      <c r="W44" s="2"/>
      <c r="X44" s="2"/>
    </row>
    <row r="45" spans="1:24" s="31" customFormat="1" x14ac:dyDescent="0.25">
      <c r="A45" s="260">
        <v>6</v>
      </c>
      <c r="B45" s="262">
        <v>42</v>
      </c>
      <c r="C45" s="276">
        <v>43917</v>
      </c>
      <c r="D45" s="277">
        <v>104126</v>
      </c>
      <c r="E45" s="278">
        <f t="shared" ref="E45:E53" si="5">D45-D44</f>
        <v>18691</v>
      </c>
      <c r="F45" s="542"/>
      <c r="G45" s="275">
        <f t="shared" ref="G45:G53" si="6">H$44/10</f>
        <v>24314.6</v>
      </c>
      <c r="H45" s="539"/>
      <c r="I45" s="539"/>
      <c r="J45" s="539"/>
      <c r="K45" s="601"/>
      <c r="L45" s="608"/>
      <c r="M45" s="172"/>
      <c r="N45" s="172"/>
      <c r="O45" s="172"/>
      <c r="P45" s="172"/>
      <c r="Q45" s="258"/>
      <c r="R45" s="258"/>
      <c r="V45" s="2"/>
      <c r="W45" s="2"/>
      <c r="X45" s="2"/>
    </row>
    <row r="46" spans="1:24" s="31" customFormat="1" x14ac:dyDescent="0.25">
      <c r="A46" s="260">
        <v>7</v>
      </c>
      <c r="B46" s="262">
        <v>43</v>
      </c>
      <c r="C46" s="276">
        <v>43918</v>
      </c>
      <c r="D46" s="277">
        <v>123578</v>
      </c>
      <c r="E46" s="278">
        <f t="shared" si="5"/>
        <v>19452</v>
      </c>
      <c r="F46" s="542"/>
      <c r="G46" s="275">
        <f t="shared" si="6"/>
        <v>24314.6</v>
      </c>
      <c r="H46" s="539"/>
      <c r="I46" s="539"/>
      <c r="J46" s="539"/>
      <c r="K46" s="601"/>
      <c r="L46" s="608"/>
      <c r="M46" s="172"/>
      <c r="N46" s="172"/>
      <c r="O46" s="172"/>
      <c r="P46" s="172"/>
      <c r="Q46" s="258"/>
      <c r="R46" s="258"/>
      <c r="V46" s="2"/>
      <c r="W46" s="2"/>
      <c r="X46" s="2"/>
    </row>
    <row r="47" spans="1:24" s="31" customFormat="1" x14ac:dyDescent="0.25">
      <c r="A47" s="260">
        <v>8</v>
      </c>
      <c r="B47" s="262">
        <v>44</v>
      </c>
      <c r="C47" s="276">
        <v>43919</v>
      </c>
      <c r="D47" s="277">
        <v>143491</v>
      </c>
      <c r="E47" s="278">
        <f t="shared" si="5"/>
        <v>19913</v>
      </c>
      <c r="F47" s="542"/>
      <c r="G47" s="275">
        <f t="shared" si="6"/>
        <v>24314.6</v>
      </c>
      <c r="H47" s="539"/>
      <c r="I47" s="539"/>
      <c r="J47" s="539"/>
      <c r="K47" s="601"/>
      <c r="L47" s="608"/>
      <c r="M47" s="172"/>
      <c r="N47" s="172"/>
      <c r="O47" s="172"/>
      <c r="P47" s="172"/>
      <c r="Q47" s="258"/>
      <c r="R47" s="258"/>
      <c r="V47" s="2"/>
      <c r="W47" s="2"/>
      <c r="X47" s="2"/>
    </row>
    <row r="48" spans="1:24" s="31" customFormat="1" x14ac:dyDescent="0.25">
      <c r="A48" s="260">
        <v>9</v>
      </c>
      <c r="B48" s="262">
        <v>45</v>
      </c>
      <c r="C48" s="276">
        <v>43920</v>
      </c>
      <c r="D48" s="277">
        <v>163844</v>
      </c>
      <c r="E48" s="278">
        <f t="shared" si="5"/>
        <v>20353</v>
      </c>
      <c r="F48" s="542"/>
      <c r="G48" s="275">
        <f t="shared" si="6"/>
        <v>24314.6</v>
      </c>
      <c r="H48" s="539"/>
      <c r="I48" s="539"/>
      <c r="J48" s="539"/>
      <c r="K48" s="601"/>
      <c r="L48" s="608"/>
      <c r="M48" s="172"/>
      <c r="N48" s="172"/>
      <c r="O48" s="172"/>
      <c r="P48" s="172"/>
      <c r="Q48" s="258"/>
      <c r="R48" s="258"/>
      <c r="V48" s="2"/>
      <c r="W48" s="2"/>
      <c r="X48" s="2"/>
    </row>
    <row r="49" spans="1:24" s="52" customFormat="1" x14ac:dyDescent="0.3">
      <c r="A49" s="260">
        <v>10</v>
      </c>
      <c r="B49" s="262">
        <v>46</v>
      </c>
      <c r="C49" s="276">
        <v>43921</v>
      </c>
      <c r="D49" s="277">
        <v>188530</v>
      </c>
      <c r="E49" s="278">
        <f t="shared" si="5"/>
        <v>24686</v>
      </c>
      <c r="F49" s="542"/>
      <c r="G49" s="275">
        <f t="shared" si="6"/>
        <v>24314.6</v>
      </c>
      <c r="H49" s="539"/>
      <c r="I49" s="539"/>
      <c r="J49" s="539"/>
      <c r="K49" s="601"/>
      <c r="L49" s="608"/>
      <c r="M49" s="172"/>
      <c r="N49" s="172"/>
      <c r="O49" s="172"/>
      <c r="P49" s="172"/>
      <c r="Q49" s="258"/>
      <c r="R49" s="258"/>
      <c r="S49" s="31"/>
      <c r="T49" s="31"/>
      <c r="U49" s="31"/>
      <c r="V49" s="2"/>
      <c r="W49" s="2"/>
      <c r="X49" s="2"/>
    </row>
    <row r="50" spans="1:24" s="52" customFormat="1" x14ac:dyDescent="0.3">
      <c r="A50" s="260">
        <v>11</v>
      </c>
      <c r="B50" s="262">
        <v>47</v>
      </c>
      <c r="C50" s="276">
        <v>43922</v>
      </c>
      <c r="D50" s="277">
        <v>215003</v>
      </c>
      <c r="E50" s="278">
        <f t="shared" si="5"/>
        <v>26473</v>
      </c>
      <c r="F50" s="542"/>
      <c r="G50" s="275">
        <f t="shared" si="6"/>
        <v>24314.6</v>
      </c>
      <c r="H50" s="539"/>
      <c r="I50" s="539"/>
      <c r="J50" s="539"/>
      <c r="K50" s="601"/>
      <c r="L50" s="608"/>
      <c r="M50" s="172"/>
      <c r="N50" s="172"/>
      <c r="O50" s="172"/>
      <c r="P50" s="172"/>
      <c r="Q50" s="258"/>
      <c r="R50" s="258"/>
      <c r="S50" s="31"/>
      <c r="T50" s="31"/>
      <c r="U50" s="31"/>
      <c r="V50" s="2"/>
      <c r="W50" s="2"/>
      <c r="X50" s="2"/>
    </row>
    <row r="51" spans="1:24" s="52" customFormat="1" x14ac:dyDescent="0.3">
      <c r="A51" s="260">
        <v>12</v>
      </c>
      <c r="B51" s="262">
        <v>48</v>
      </c>
      <c r="C51" s="276">
        <v>43923</v>
      </c>
      <c r="D51" s="277">
        <v>245380</v>
      </c>
      <c r="E51" s="278">
        <f t="shared" si="5"/>
        <v>30377</v>
      </c>
      <c r="F51" s="542"/>
      <c r="G51" s="275">
        <f t="shared" si="6"/>
        <v>24314.6</v>
      </c>
      <c r="H51" s="539"/>
      <c r="I51" s="539"/>
      <c r="J51" s="539"/>
      <c r="K51" s="601"/>
      <c r="L51" s="608"/>
      <c r="M51" s="172"/>
      <c r="N51" s="172"/>
      <c r="O51" s="172"/>
      <c r="P51" s="172"/>
      <c r="Q51" s="258"/>
      <c r="R51" s="258"/>
      <c r="S51" s="31"/>
      <c r="T51" s="31"/>
      <c r="U51" s="31"/>
      <c r="V51" s="2"/>
      <c r="W51" s="2"/>
      <c r="X51" s="2"/>
    </row>
    <row r="52" spans="1:24" s="52" customFormat="1" x14ac:dyDescent="0.3">
      <c r="A52" s="260">
        <v>13</v>
      </c>
      <c r="B52" s="262">
        <v>49</v>
      </c>
      <c r="C52" s="276">
        <v>43924</v>
      </c>
      <c r="D52" s="277">
        <v>277161</v>
      </c>
      <c r="E52" s="278">
        <f t="shared" si="5"/>
        <v>31781</v>
      </c>
      <c r="F52" s="542"/>
      <c r="G52" s="275">
        <f t="shared" si="6"/>
        <v>24314.6</v>
      </c>
      <c r="H52" s="539"/>
      <c r="I52" s="539"/>
      <c r="J52" s="539"/>
      <c r="K52" s="601"/>
      <c r="L52" s="608"/>
      <c r="M52" s="172"/>
      <c r="N52" s="172"/>
      <c r="O52" s="172"/>
      <c r="P52" s="172"/>
      <c r="Q52" s="258"/>
      <c r="R52" s="258"/>
      <c r="S52" s="31"/>
      <c r="T52" s="31"/>
      <c r="U52" s="31"/>
      <c r="V52" s="2"/>
      <c r="W52" s="2"/>
      <c r="X52" s="2"/>
    </row>
    <row r="53" spans="1:24" s="52" customFormat="1" ht="19.5" thickBot="1" x14ac:dyDescent="0.35">
      <c r="A53" s="260">
        <v>14</v>
      </c>
      <c r="B53" s="300">
        <v>50</v>
      </c>
      <c r="C53" s="361">
        <v>43925</v>
      </c>
      <c r="D53" s="362">
        <v>311357</v>
      </c>
      <c r="E53" s="363">
        <f t="shared" si="5"/>
        <v>34196</v>
      </c>
      <c r="F53" s="543"/>
      <c r="G53" s="275">
        <f t="shared" si="6"/>
        <v>24314.6</v>
      </c>
      <c r="H53" s="540"/>
      <c r="I53" s="540"/>
      <c r="J53" s="540"/>
      <c r="K53" s="602"/>
      <c r="L53" s="609"/>
      <c r="M53" s="172"/>
      <c r="N53" s="172"/>
      <c r="O53" s="172"/>
      <c r="P53" s="172"/>
      <c r="Q53" s="258"/>
      <c r="R53" s="258"/>
      <c r="S53" s="31"/>
      <c r="T53" s="31"/>
      <c r="U53" s="31"/>
      <c r="V53" s="2"/>
      <c r="W53" s="2"/>
      <c r="X53" s="2"/>
    </row>
    <row r="54" spans="1:24" s="52" customFormat="1" x14ac:dyDescent="0.3">
      <c r="A54" s="260">
        <v>15</v>
      </c>
      <c r="B54" s="216">
        <v>51</v>
      </c>
      <c r="C54" s="364">
        <v>43926</v>
      </c>
      <c r="D54" s="285"/>
      <c r="E54" s="286"/>
      <c r="F54" s="532">
        <f>SUM(E54:E63)</f>
        <v>0</v>
      </c>
      <c r="G54" s="287">
        <f>H$54/10</f>
        <v>30000</v>
      </c>
      <c r="H54" s="523">
        <v>300000</v>
      </c>
      <c r="I54" s="523"/>
      <c r="J54" s="523"/>
      <c r="K54" s="603">
        <f>H54/SUM(H44+H34+H24+H14+H4-I44-I34-I24-I14-J44-J34-J24-J14-I4-J4)</f>
        <v>0.96641389574326897</v>
      </c>
      <c r="L54" s="523">
        <f>H54*0.05</f>
        <v>15000</v>
      </c>
      <c r="M54" s="172"/>
      <c r="N54" s="172"/>
      <c r="O54" s="172"/>
      <c r="P54" s="172"/>
      <c r="Q54" s="258"/>
      <c r="R54" s="258"/>
      <c r="S54" s="31"/>
      <c r="T54" s="31"/>
      <c r="U54" s="31"/>
      <c r="V54" s="2"/>
      <c r="W54" s="2"/>
      <c r="X54" s="2"/>
    </row>
    <row r="55" spans="1:24" s="52" customFormat="1" x14ac:dyDescent="0.3">
      <c r="A55" s="260">
        <v>16</v>
      </c>
      <c r="B55" s="262">
        <v>52</v>
      </c>
      <c r="C55" s="365">
        <v>43927</v>
      </c>
      <c r="D55" s="289"/>
      <c r="E55" s="290"/>
      <c r="F55" s="533"/>
      <c r="G55" s="287">
        <f t="shared" ref="G55:G63" si="7">H$54/10</f>
        <v>30000</v>
      </c>
      <c r="H55" s="524"/>
      <c r="I55" s="524"/>
      <c r="J55" s="524"/>
      <c r="K55" s="604"/>
      <c r="L55" s="524"/>
      <c r="M55" s="172"/>
      <c r="N55" s="172"/>
      <c r="O55" s="172"/>
      <c r="P55" s="172"/>
      <c r="Q55" s="258"/>
      <c r="R55" s="258"/>
      <c r="S55" s="31"/>
      <c r="T55" s="31"/>
      <c r="U55" s="31"/>
      <c r="V55" s="2"/>
      <c r="W55" s="2"/>
      <c r="X55" s="2"/>
    </row>
    <row r="56" spans="1:24" s="52" customFormat="1" x14ac:dyDescent="0.3">
      <c r="A56" s="260">
        <v>17</v>
      </c>
      <c r="B56" s="262">
        <v>53</v>
      </c>
      <c r="C56" s="365">
        <v>43928</v>
      </c>
      <c r="D56" s="289"/>
      <c r="E56" s="290"/>
      <c r="F56" s="533"/>
      <c r="G56" s="287">
        <f t="shared" si="7"/>
        <v>30000</v>
      </c>
      <c r="H56" s="524"/>
      <c r="I56" s="524"/>
      <c r="J56" s="524"/>
      <c r="K56" s="604"/>
      <c r="L56" s="524"/>
      <c r="M56" s="172"/>
      <c r="N56" s="172"/>
      <c r="O56" s="172"/>
      <c r="P56" s="172"/>
      <c r="Q56" s="258"/>
      <c r="R56" s="258"/>
      <c r="S56" s="31"/>
      <c r="T56" s="31"/>
      <c r="U56" s="31"/>
      <c r="V56" s="2"/>
      <c r="W56" s="2"/>
      <c r="X56" s="2"/>
    </row>
    <row r="57" spans="1:24" s="52" customFormat="1" x14ac:dyDescent="0.3">
      <c r="A57" s="260">
        <v>18</v>
      </c>
      <c r="B57" s="262">
        <v>54</v>
      </c>
      <c r="C57" s="365">
        <v>43929</v>
      </c>
      <c r="D57" s="289"/>
      <c r="E57" s="290"/>
      <c r="F57" s="533"/>
      <c r="G57" s="287">
        <f t="shared" si="7"/>
        <v>30000</v>
      </c>
      <c r="H57" s="524"/>
      <c r="I57" s="524"/>
      <c r="J57" s="524"/>
      <c r="K57" s="604"/>
      <c r="L57" s="524"/>
      <c r="M57" s="172"/>
      <c r="N57" s="172"/>
      <c r="O57" s="172"/>
      <c r="P57" s="172"/>
      <c r="Q57" s="258"/>
      <c r="R57" s="258"/>
      <c r="S57" s="31"/>
      <c r="T57" s="31"/>
      <c r="U57" s="31"/>
      <c r="V57" s="2"/>
      <c r="W57" s="2"/>
      <c r="X57" s="2"/>
    </row>
    <row r="58" spans="1:24" s="52" customFormat="1" x14ac:dyDescent="0.3">
      <c r="A58" s="260">
        <v>19</v>
      </c>
      <c r="B58" s="262">
        <v>55</v>
      </c>
      <c r="C58" s="365">
        <v>43930</v>
      </c>
      <c r="D58" s="289"/>
      <c r="E58" s="290"/>
      <c r="F58" s="533"/>
      <c r="G58" s="287">
        <f t="shared" si="7"/>
        <v>30000</v>
      </c>
      <c r="H58" s="524"/>
      <c r="I58" s="524"/>
      <c r="J58" s="524"/>
      <c r="K58" s="604"/>
      <c r="L58" s="524"/>
      <c r="M58" s="172"/>
      <c r="N58" s="172"/>
      <c r="O58" s="172"/>
      <c r="P58" s="172"/>
      <c r="Q58" s="258"/>
      <c r="R58" s="258"/>
      <c r="S58" s="31"/>
      <c r="T58" s="31"/>
      <c r="U58" s="31"/>
      <c r="V58" s="2"/>
      <c r="W58" s="2"/>
      <c r="X58" s="2"/>
    </row>
    <row r="59" spans="1:24" s="52" customFormat="1" x14ac:dyDescent="0.3">
      <c r="A59" s="260">
        <v>20</v>
      </c>
      <c r="B59" s="262">
        <v>56</v>
      </c>
      <c r="C59" s="365">
        <v>43931</v>
      </c>
      <c r="D59" s="289"/>
      <c r="E59" s="290"/>
      <c r="F59" s="533"/>
      <c r="G59" s="287">
        <f t="shared" si="7"/>
        <v>30000</v>
      </c>
      <c r="H59" s="524"/>
      <c r="I59" s="524"/>
      <c r="J59" s="524"/>
      <c r="K59" s="604"/>
      <c r="L59" s="524"/>
      <c r="M59" s="172"/>
      <c r="N59" s="172"/>
      <c r="O59" s="172"/>
      <c r="P59" s="172"/>
      <c r="Q59" s="258"/>
      <c r="R59" s="258"/>
      <c r="S59" s="31"/>
      <c r="T59" s="31"/>
      <c r="U59" s="31"/>
      <c r="V59" s="2"/>
      <c r="W59" s="2"/>
      <c r="X59" s="2"/>
    </row>
    <row r="60" spans="1:24" s="52" customFormat="1" x14ac:dyDescent="0.3">
      <c r="A60" s="260">
        <v>21</v>
      </c>
      <c r="B60" s="280">
        <v>57</v>
      </c>
      <c r="C60" s="365">
        <v>43932</v>
      </c>
      <c r="D60" s="289"/>
      <c r="E60" s="290"/>
      <c r="F60" s="533"/>
      <c r="G60" s="287">
        <f t="shared" si="7"/>
        <v>30000</v>
      </c>
      <c r="H60" s="524"/>
      <c r="I60" s="524"/>
      <c r="J60" s="524"/>
      <c r="K60" s="604"/>
      <c r="L60" s="524"/>
      <c r="M60" s="172"/>
      <c r="N60" s="172"/>
      <c r="O60" s="172"/>
      <c r="P60" s="172"/>
      <c r="Q60" s="258"/>
      <c r="R60" s="258"/>
      <c r="S60" s="31"/>
      <c r="T60" s="31"/>
      <c r="U60" s="31"/>
      <c r="V60" s="2"/>
      <c r="W60" s="2"/>
      <c r="X60" s="2"/>
    </row>
    <row r="61" spans="1:24" s="52" customFormat="1" x14ac:dyDescent="0.3">
      <c r="A61" s="260">
        <v>22</v>
      </c>
      <c r="B61" s="262">
        <v>58</v>
      </c>
      <c r="C61" s="365">
        <v>43933</v>
      </c>
      <c r="D61" s="289"/>
      <c r="E61" s="290"/>
      <c r="F61" s="533"/>
      <c r="G61" s="287">
        <f>H$54/10</f>
        <v>30000</v>
      </c>
      <c r="H61" s="524"/>
      <c r="I61" s="524"/>
      <c r="J61" s="524"/>
      <c r="K61" s="604"/>
      <c r="L61" s="524"/>
      <c r="M61" s="172"/>
      <c r="N61" s="172"/>
      <c r="O61" s="172"/>
      <c r="P61" s="172"/>
      <c r="Q61" s="258"/>
      <c r="R61" s="258"/>
      <c r="S61" s="31"/>
      <c r="T61" s="31"/>
      <c r="U61" s="31"/>
      <c r="V61" s="2"/>
      <c r="W61" s="2"/>
      <c r="X61" s="2"/>
    </row>
    <row r="62" spans="1:24" s="52" customFormat="1" x14ac:dyDescent="0.3">
      <c r="A62" s="260">
        <v>23</v>
      </c>
      <c r="B62" s="262">
        <v>59</v>
      </c>
      <c r="C62" s="365">
        <v>43934</v>
      </c>
      <c r="D62" s="289"/>
      <c r="E62" s="290"/>
      <c r="F62" s="533"/>
      <c r="G62" s="287">
        <f t="shared" si="7"/>
        <v>30000</v>
      </c>
      <c r="H62" s="524"/>
      <c r="I62" s="524"/>
      <c r="J62" s="524"/>
      <c r="K62" s="604"/>
      <c r="L62" s="524"/>
      <c r="M62" s="172"/>
      <c r="N62" s="172"/>
      <c r="O62" s="172"/>
      <c r="P62" s="172"/>
      <c r="Q62" s="258"/>
      <c r="R62" s="258"/>
      <c r="S62" s="31"/>
      <c r="T62" s="31"/>
      <c r="U62" s="31"/>
      <c r="V62" s="2"/>
      <c r="W62" s="2"/>
      <c r="X62" s="2"/>
    </row>
    <row r="63" spans="1:24" s="52" customFormat="1" ht="19.5" thickBot="1" x14ac:dyDescent="0.35">
      <c r="A63" s="260">
        <v>24</v>
      </c>
      <c r="B63" s="263">
        <v>60</v>
      </c>
      <c r="C63" s="366">
        <v>43935</v>
      </c>
      <c r="D63" s="292"/>
      <c r="E63" s="293"/>
      <c r="F63" s="534"/>
      <c r="G63" s="287">
        <f t="shared" si="7"/>
        <v>30000</v>
      </c>
      <c r="H63" s="525"/>
      <c r="I63" s="525"/>
      <c r="J63" s="525"/>
      <c r="K63" s="605"/>
      <c r="L63" s="525"/>
      <c r="M63" s="172"/>
      <c r="N63" s="172"/>
      <c r="O63" s="172"/>
      <c r="P63" s="172"/>
      <c r="Q63" s="258"/>
      <c r="R63" s="258"/>
      <c r="S63" s="31"/>
      <c r="T63" s="31"/>
      <c r="U63" s="31"/>
      <c r="V63" s="2"/>
      <c r="W63" s="2"/>
      <c r="X63" s="2"/>
    </row>
    <row r="64" spans="1:24" s="52" customFormat="1" x14ac:dyDescent="0.3">
      <c r="A64" s="260">
        <v>25</v>
      </c>
      <c r="B64" s="261">
        <v>61</v>
      </c>
      <c r="C64" s="364">
        <v>43936</v>
      </c>
      <c r="D64" s="367"/>
      <c r="E64" s="286"/>
      <c r="F64" s="532">
        <f>SUM(E64:E73)</f>
        <v>0</v>
      </c>
      <c r="G64" s="287">
        <f>H$64/10</f>
        <v>30000</v>
      </c>
      <c r="H64" s="523">
        <v>300000</v>
      </c>
      <c r="I64" s="523"/>
      <c r="J64" s="523"/>
      <c r="K64" s="603">
        <f>H64/SUM(H4+H54+H44+H34+H24+H14-I54-I44-I34-I24-J54-J44-J34-J24-I14-J14-I4-J4)</f>
        <v>0.4914600623171359</v>
      </c>
      <c r="L64" s="523">
        <f>H64*0.05</f>
        <v>15000</v>
      </c>
      <c r="M64" s="172"/>
      <c r="N64" s="172"/>
      <c r="O64" s="172"/>
      <c r="P64" s="172"/>
      <c r="Q64" s="258"/>
      <c r="R64" s="258"/>
      <c r="S64" s="31"/>
      <c r="T64" s="31"/>
      <c r="U64" s="31"/>
      <c r="V64" s="2"/>
      <c r="W64" s="2"/>
      <c r="X64" s="2"/>
    </row>
    <row r="65" spans="1:24" s="52" customFormat="1" x14ac:dyDescent="0.3">
      <c r="A65" s="260">
        <v>26</v>
      </c>
      <c r="B65" s="262">
        <v>62</v>
      </c>
      <c r="C65" s="365">
        <v>43937</v>
      </c>
      <c r="D65" s="368"/>
      <c r="E65" s="290"/>
      <c r="F65" s="533"/>
      <c r="G65" s="287">
        <f t="shared" ref="G65:G73" si="8">H$64/10</f>
        <v>30000</v>
      </c>
      <c r="H65" s="524"/>
      <c r="I65" s="524"/>
      <c r="J65" s="524"/>
      <c r="K65" s="604"/>
      <c r="L65" s="524"/>
      <c r="M65" s="172"/>
      <c r="N65" s="172"/>
      <c r="O65" s="172"/>
      <c r="P65" s="172"/>
      <c r="Q65" s="258"/>
      <c r="R65" s="258"/>
      <c r="S65" s="31"/>
      <c r="T65" s="31"/>
      <c r="U65" s="31"/>
      <c r="V65" s="2"/>
      <c r="W65" s="2"/>
      <c r="X65" s="2"/>
    </row>
    <row r="66" spans="1:24" s="52" customFormat="1" x14ac:dyDescent="0.3">
      <c r="A66" s="260">
        <v>27</v>
      </c>
      <c r="B66" s="262">
        <v>63</v>
      </c>
      <c r="C66" s="365">
        <v>43938</v>
      </c>
      <c r="D66" s="368"/>
      <c r="E66" s="290"/>
      <c r="F66" s="533"/>
      <c r="G66" s="287">
        <f t="shared" si="8"/>
        <v>30000</v>
      </c>
      <c r="H66" s="524"/>
      <c r="I66" s="524"/>
      <c r="J66" s="524"/>
      <c r="K66" s="604"/>
      <c r="L66" s="524"/>
      <c r="M66" s="172"/>
      <c r="N66" s="172"/>
      <c r="O66" s="172"/>
      <c r="P66" s="172"/>
      <c r="Q66" s="258"/>
      <c r="R66" s="258"/>
      <c r="S66" s="31"/>
      <c r="T66" s="31"/>
      <c r="U66" s="31"/>
      <c r="V66" s="2"/>
      <c r="W66" s="2"/>
      <c r="X66" s="2"/>
    </row>
    <row r="67" spans="1:24" s="52" customFormat="1" x14ac:dyDescent="0.3">
      <c r="A67" s="260">
        <v>28</v>
      </c>
      <c r="B67" s="262">
        <v>64</v>
      </c>
      <c r="C67" s="365">
        <v>43939</v>
      </c>
      <c r="D67" s="368"/>
      <c r="E67" s="290"/>
      <c r="F67" s="533"/>
      <c r="G67" s="287">
        <f t="shared" si="8"/>
        <v>30000</v>
      </c>
      <c r="H67" s="524"/>
      <c r="I67" s="524"/>
      <c r="J67" s="524"/>
      <c r="K67" s="604"/>
      <c r="L67" s="524"/>
      <c r="M67" s="172"/>
      <c r="N67" s="172"/>
      <c r="O67" s="172"/>
      <c r="P67" s="172"/>
      <c r="Q67" s="258"/>
      <c r="R67" s="258"/>
      <c r="S67" s="31"/>
      <c r="T67" s="31"/>
      <c r="U67" s="31"/>
      <c r="V67" s="2"/>
      <c r="W67" s="2"/>
      <c r="X67" s="2"/>
    </row>
    <row r="68" spans="1:24" s="52" customFormat="1" x14ac:dyDescent="0.3">
      <c r="A68" s="260">
        <v>29</v>
      </c>
      <c r="B68" s="262">
        <v>65</v>
      </c>
      <c r="C68" s="365">
        <v>43940</v>
      </c>
      <c r="D68" s="368"/>
      <c r="E68" s="290"/>
      <c r="F68" s="533"/>
      <c r="G68" s="287">
        <f t="shared" si="8"/>
        <v>30000</v>
      </c>
      <c r="H68" s="524"/>
      <c r="I68" s="524"/>
      <c r="J68" s="524"/>
      <c r="K68" s="604"/>
      <c r="L68" s="524"/>
      <c r="M68" s="172"/>
      <c r="N68" s="172"/>
      <c r="O68" s="172"/>
      <c r="P68" s="172"/>
      <c r="Q68" s="258"/>
      <c r="R68" s="258"/>
      <c r="S68" s="31"/>
      <c r="T68" s="31"/>
      <c r="U68" s="31"/>
      <c r="V68" s="2"/>
      <c r="W68" s="2"/>
      <c r="X68" s="2"/>
    </row>
    <row r="69" spans="1:24" s="52" customFormat="1" x14ac:dyDescent="0.3">
      <c r="A69" s="260">
        <v>30</v>
      </c>
      <c r="B69" s="262">
        <v>66</v>
      </c>
      <c r="C69" s="365">
        <v>43941</v>
      </c>
      <c r="D69" s="368"/>
      <c r="E69" s="290"/>
      <c r="F69" s="533"/>
      <c r="G69" s="287">
        <f t="shared" si="8"/>
        <v>30000</v>
      </c>
      <c r="H69" s="524"/>
      <c r="I69" s="524"/>
      <c r="J69" s="524"/>
      <c r="K69" s="604"/>
      <c r="L69" s="524"/>
      <c r="M69" s="172"/>
      <c r="N69" s="172"/>
      <c r="O69" s="172"/>
      <c r="P69" s="172"/>
      <c r="Q69" s="258"/>
      <c r="R69" s="258"/>
      <c r="S69" s="31"/>
      <c r="T69" s="31"/>
      <c r="U69" s="31"/>
      <c r="V69" s="2"/>
      <c r="W69" s="2"/>
      <c r="X69" s="2"/>
    </row>
    <row r="70" spans="1:24" s="52" customFormat="1" x14ac:dyDescent="0.3">
      <c r="A70" s="260">
        <v>31</v>
      </c>
      <c r="B70" s="262">
        <v>67</v>
      </c>
      <c r="C70" s="365">
        <v>43942</v>
      </c>
      <c r="D70" s="368"/>
      <c r="E70" s="290"/>
      <c r="F70" s="533"/>
      <c r="G70" s="287">
        <f t="shared" si="8"/>
        <v>30000</v>
      </c>
      <c r="H70" s="524"/>
      <c r="I70" s="524"/>
      <c r="J70" s="524"/>
      <c r="K70" s="604"/>
      <c r="L70" s="524"/>
      <c r="M70" s="172"/>
      <c r="N70" s="172"/>
      <c r="O70" s="172"/>
      <c r="P70" s="172"/>
      <c r="Q70" s="258"/>
      <c r="R70" s="258"/>
      <c r="S70" s="31"/>
      <c r="T70" s="31"/>
      <c r="U70" s="31"/>
      <c r="V70" s="2"/>
      <c r="W70" s="2"/>
      <c r="X70" s="2"/>
    </row>
    <row r="71" spans="1:24" s="52" customFormat="1" x14ac:dyDescent="0.3">
      <c r="A71" s="260">
        <v>32</v>
      </c>
      <c r="B71" s="262">
        <v>68</v>
      </c>
      <c r="C71" s="365">
        <v>43943</v>
      </c>
      <c r="D71" s="368"/>
      <c r="E71" s="290"/>
      <c r="F71" s="533"/>
      <c r="G71" s="287">
        <f t="shared" si="8"/>
        <v>30000</v>
      </c>
      <c r="H71" s="524"/>
      <c r="I71" s="524"/>
      <c r="J71" s="524"/>
      <c r="K71" s="604"/>
      <c r="L71" s="524"/>
      <c r="M71" s="172"/>
      <c r="N71" s="172"/>
      <c r="O71" s="172"/>
      <c r="P71" s="172"/>
      <c r="Q71" s="258"/>
      <c r="R71" s="258"/>
      <c r="S71" s="31"/>
      <c r="T71" s="31"/>
      <c r="U71" s="31"/>
      <c r="V71" s="2"/>
      <c r="W71" s="2"/>
      <c r="X71" s="2"/>
    </row>
    <row r="72" spans="1:24" s="52" customFormat="1" x14ac:dyDescent="0.3">
      <c r="A72" s="260">
        <v>33</v>
      </c>
      <c r="B72" s="262">
        <v>69</v>
      </c>
      <c r="C72" s="365">
        <v>43944</v>
      </c>
      <c r="D72" s="368"/>
      <c r="E72" s="290"/>
      <c r="F72" s="533"/>
      <c r="G72" s="287">
        <f t="shared" si="8"/>
        <v>30000</v>
      </c>
      <c r="H72" s="524"/>
      <c r="I72" s="524"/>
      <c r="J72" s="524"/>
      <c r="K72" s="604"/>
      <c r="L72" s="524"/>
      <c r="M72" s="172"/>
      <c r="N72" s="172"/>
      <c r="O72" s="172"/>
      <c r="P72" s="172"/>
      <c r="Q72" s="258"/>
      <c r="R72" s="258"/>
      <c r="S72" s="31"/>
      <c r="T72" s="31"/>
      <c r="U72" s="31"/>
      <c r="V72" s="2"/>
      <c r="W72" s="2"/>
      <c r="X72" s="2"/>
    </row>
    <row r="73" spans="1:24" s="52" customFormat="1" ht="19.5" thickBot="1" x14ac:dyDescent="0.35">
      <c r="A73" s="260">
        <v>34</v>
      </c>
      <c r="B73" s="263">
        <v>70</v>
      </c>
      <c r="C73" s="366">
        <v>43945</v>
      </c>
      <c r="D73" s="369"/>
      <c r="E73" s="293"/>
      <c r="F73" s="534"/>
      <c r="G73" s="287">
        <f t="shared" si="8"/>
        <v>30000</v>
      </c>
      <c r="H73" s="525"/>
      <c r="I73" s="525"/>
      <c r="J73" s="525"/>
      <c r="K73" s="605"/>
      <c r="L73" s="525"/>
      <c r="M73" s="172"/>
      <c r="N73" s="172"/>
      <c r="O73" s="172"/>
      <c r="P73" s="172"/>
      <c r="Q73" s="258"/>
      <c r="R73" s="258"/>
      <c r="S73" s="31"/>
      <c r="T73" s="31"/>
      <c r="U73" s="31"/>
      <c r="V73" s="2"/>
      <c r="W73" s="2"/>
      <c r="X73" s="2"/>
    </row>
    <row r="74" spans="1:24" s="52" customFormat="1" x14ac:dyDescent="0.3">
      <c r="A74" s="260">
        <v>35</v>
      </c>
      <c r="B74" s="261">
        <v>71</v>
      </c>
      <c r="C74" s="364">
        <v>43946</v>
      </c>
      <c r="D74" s="367"/>
      <c r="E74" s="286"/>
      <c r="F74" s="532">
        <f>SUM(E74:E83)</f>
        <v>0</v>
      </c>
      <c r="G74" s="287">
        <f>H$74/10</f>
        <v>25000</v>
      </c>
      <c r="H74" s="523">
        <v>250000</v>
      </c>
      <c r="I74" s="523"/>
      <c r="J74" s="523"/>
      <c r="K74" s="526">
        <f>H74/SUM(H4+H14+H64+H54+H44+H34+H24-I64-I54-I44-I34-J64-J54-J44-J34-I24-J24-I14-J14-I4-J4)</f>
        <v>0.27459672724636597</v>
      </c>
      <c r="L74" s="523">
        <f>H74*0.05</f>
        <v>12500</v>
      </c>
      <c r="M74" s="172"/>
      <c r="N74" s="172"/>
      <c r="O74" s="172"/>
      <c r="P74" s="172"/>
      <c r="Q74" s="258"/>
      <c r="R74" s="258"/>
      <c r="S74" s="31"/>
      <c r="T74" s="31"/>
      <c r="U74" s="31"/>
      <c r="V74" s="2"/>
      <c r="W74" s="2"/>
      <c r="X74" s="2"/>
    </row>
    <row r="75" spans="1:24" s="52" customFormat="1" x14ac:dyDescent="0.3">
      <c r="A75" s="260">
        <v>36</v>
      </c>
      <c r="B75" s="262">
        <v>72</v>
      </c>
      <c r="C75" s="365">
        <v>43947</v>
      </c>
      <c r="D75" s="368"/>
      <c r="E75" s="290"/>
      <c r="F75" s="533"/>
      <c r="G75" s="287">
        <f t="shared" ref="G75:G83" si="9">H$74/10</f>
        <v>25000</v>
      </c>
      <c r="H75" s="524"/>
      <c r="I75" s="524"/>
      <c r="J75" s="524"/>
      <c r="K75" s="527"/>
      <c r="L75" s="524"/>
      <c r="M75" s="172"/>
      <c r="N75" s="172"/>
      <c r="O75" s="172"/>
      <c r="P75" s="172"/>
      <c r="Q75" s="258"/>
      <c r="R75" s="258"/>
      <c r="S75" s="31"/>
      <c r="T75" s="31"/>
      <c r="U75" s="31"/>
      <c r="V75" s="2"/>
      <c r="W75" s="2"/>
      <c r="X75" s="2"/>
    </row>
    <row r="76" spans="1:24" s="52" customFormat="1" x14ac:dyDescent="0.3">
      <c r="A76" s="260">
        <v>37</v>
      </c>
      <c r="B76" s="262">
        <v>73</v>
      </c>
      <c r="C76" s="365">
        <v>43948</v>
      </c>
      <c r="D76" s="368"/>
      <c r="E76" s="290"/>
      <c r="F76" s="533"/>
      <c r="G76" s="287">
        <f t="shared" si="9"/>
        <v>25000</v>
      </c>
      <c r="H76" s="524"/>
      <c r="I76" s="524"/>
      <c r="J76" s="524"/>
      <c r="K76" s="527"/>
      <c r="L76" s="524"/>
      <c r="M76" s="172"/>
      <c r="N76" s="172"/>
      <c r="O76" s="172"/>
      <c r="P76" s="172"/>
      <c r="Q76" s="258"/>
      <c r="R76" s="258"/>
      <c r="S76" s="31"/>
      <c r="T76" s="31"/>
      <c r="U76" s="31"/>
      <c r="V76" s="2"/>
      <c r="W76" s="2"/>
      <c r="X76" s="2"/>
    </row>
    <row r="77" spans="1:24" s="52" customFormat="1" x14ac:dyDescent="0.3">
      <c r="A77" s="260">
        <v>38</v>
      </c>
      <c r="B77" s="262">
        <v>74</v>
      </c>
      <c r="C77" s="365">
        <v>43949</v>
      </c>
      <c r="D77" s="368"/>
      <c r="E77" s="290"/>
      <c r="F77" s="533"/>
      <c r="G77" s="287">
        <f t="shared" si="9"/>
        <v>25000</v>
      </c>
      <c r="H77" s="524"/>
      <c r="I77" s="524"/>
      <c r="J77" s="524"/>
      <c r="K77" s="527"/>
      <c r="L77" s="524"/>
      <c r="M77" s="172"/>
      <c r="N77" s="172"/>
      <c r="O77" s="172"/>
      <c r="P77" s="172"/>
      <c r="Q77" s="258"/>
      <c r="R77" s="258"/>
      <c r="S77" s="31"/>
      <c r="T77" s="31"/>
      <c r="U77" s="31"/>
      <c r="V77" s="2"/>
      <c r="W77" s="2"/>
      <c r="X77" s="2"/>
    </row>
    <row r="78" spans="1:24" s="52" customFormat="1" x14ac:dyDescent="0.3">
      <c r="A78" s="260">
        <v>39</v>
      </c>
      <c r="B78" s="262">
        <v>75</v>
      </c>
      <c r="C78" s="365">
        <v>43950</v>
      </c>
      <c r="D78" s="368"/>
      <c r="E78" s="290"/>
      <c r="F78" s="533"/>
      <c r="G78" s="287">
        <f t="shared" si="9"/>
        <v>25000</v>
      </c>
      <c r="H78" s="524"/>
      <c r="I78" s="524"/>
      <c r="J78" s="524"/>
      <c r="K78" s="527"/>
      <c r="L78" s="524"/>
      <c r="M78" s="172"/>
      <c r="N78" s="172"/>
      <c r="O78" s="172"/>
      <c r="P78" s="172"/>
      <c r="Q78" s="258"/>
      <c r="R78" s="258"/>
      <c r="S78" s="31"/>
      <c r="T78" s="31"/>
      <c r="U78" s="31"/>
      <c r="V78" s="2"/>
      <c r="W78" s="2"/>
      <c r="X78" s="2"/>
    </row>
    <row r="79" spans="1:24" s="52" customFormat="1" x14ac:dyDescent="0.3">
      <c r="A79" s="260">
        <v>40</v>
      </c>
      <c r="B79" s="262">
        <v>76</v>
      </c>
      <c r="C79" s="365">
        <v>43951</v>
      </c>
      <c r="D79" s="368"/>
      <c r="E79" s="290"/>
      <c r="F79" s="533"/>
      <c r="G79" s="287">
        <f t="shared" si="9"/>
        <v>25000</v>
      </c>
      <c r="H79" s="524"/>
      <c r="I79" s="524"/>
      <c r="J79" s="524"/>
      <c r="K79" s="527"/>
      <c r="L79" s="524"/>
      <c r="M79" s="172"/>
      <c r="N79" s="172"/>
      <c r="O79" s="172"/>
      <c r="P79" s="172"/>
      <c r="Q79" s="258"/>
      <c r="R79" s="258"/>
      <c r="S79" s="31"/>
      <c r="T79" s="31"/>
      <c r="U79" s="31"/>
      <c r="V79" s="2"/>
      <c r="W79" s="2"/>
      <c r="X79" s="2"/>
    </row>
    <row r="80" spans="1:24" s="52" customFormat="1" x14ac:dyDescent="0.3">
      <c r="A80" s="260">
        <v>41</v>
      </c>
      <c r="B80" s="262">
        <v>77</v>
      </c>
      <c r="C80" s="365">
        <v>43952</v>
      </c>
      <c r="D80" s="368"/>
      <c r="E80" s="290"/>
      <c r="F80" s="533"/>
      <c r="G80" s="287">
        <f t="shared" si="9"/>
        <v>25000</v>
      </c>
      <c r="H80" s="524"/>
      <c r="I80" s="524"/>
      <c r="J80" s="524"/>
      <c r="K80" s="527"/>
      <c r="L80" s="524"/>
      <c r="M80" s="172"/>
      <c r="N80" s="172"/>
      <c r="O80" s="172"/>
      <c r="P80" s="172"/>
      <c r="Q80" s="258"/>
      <c r="R80" s="258"/>
      <c r="S80" s="31"/>
      <c r="T80" s="31"/>
      <c r="U80" s="31"/>
      <c r="V80" s="2"/>
      <c r="W80" s="2"/>
      <c r="X80" s="2"/>
    </row>
    <row r="81" spans="1:24" s="52" customFormat="1" x14ac:dyDescent="0.3">
      <c r="A81" s="260">
        <v>42</v>
      </c>
      <c r="B81" s="262">
        <v>78</v>
      </c>
      <c r="C81" s="365">
        <v>43953</v>
      </c>
      <c r="D81" s="368"/>
      <c r="E81" s="290"/>
      <c r="F81" s="533"/>
      <c r="G81" s="287">
        <f t="shared" si="9"/>
        <v>25000</v>
      </c>
      <c r="H81" s="524"/>
      <c r="I81" s="524"/>
      <c r="J81" s="524"/>
      <c r="K81" s="527"/>
      <c r="L81" s="524"/>
      <c r="M81" s="172"/>
      <c r="N81" s="172"/>
      <c r="O81" s="172"/>
      <c r="P81" s="172"/>
      <c r="Q81" s="258"/>
      <c r="R81" s="258"/>
      <c r="S81" s="31"/>
      <c r="T81" s="31"/>
      <c r="U81" s="31"/>
      <c r="V81" s="2"/>
      <c r="W81" s="2"/>
      <c r="X81" s="2"/>
    </row>
    <row r="82" spans="1:24" s="52" customFormat="1" x14ac:dyDescent="0.3">
      <c r="A82" s="260">
        <v>43</v>
      </c>
      <c r="B82" s="262">
        <v>79</v>
      </c>
      <c r="C82" s="365">
        <v>43954</v>
      </c>
      <c r="D82" s="368"/>
      <c r="E82" s="290"/>
      <c r="F82" s="533"/>
      <c r="G82" s="287">
        <f t="shared" si="9"/>
        <v>25000</v>
      </c>
      <c r="H82" s="524"/>
      <c r="I82" s="524"/>
      <c r="J82" s="524"/>
      <c r="K82" s="527"/>
      <c r="L82" s="524"/>
      <c r="M82" s="172"/>
      <c r="N82" s="172"/>
      <c r="O82" s="172"/>
      <c r="P82" s="172"/>
      <c r="Q82" s="258"/>
      <c r="R82" s="258"/>
      <c r="S82" s="31"/>
      <c r="T82" s="31"/>
      <c r="U82" s="31"/>
      <c r="V82" s="2"/>
      <c r="W82" s="2"/>
      <c r="X82" s="2"/>
    </row>
    <row r="83" spans="1:24" s="52" customFormat="1" ht="19.5" thickBot="1" x14ac:dyDescent="0.35">
      <c r="A83" s="260">
        <v>44</v>
      </c>
      <c r="B83" s="263">
        <v>80</v>
      </c>
      <c r="C83" s="366">
        <v>43955</v>
      </c>
      <c r="D83" s="369"/>
      <c r="E83" s="293"/>
      <c r="F83" s="534"/>
      <c r="G83" s="287">
        <f t="shared" si="9"/>
        <v>25000</v>
      </c>
      <c r="H83" s="525"/>
      <c r="I83" s="525"/>
      <c r="J83" s="525"/>
      <c r="K83" s="528"/>
      <c r="L83" s="525"/>
      <c r="M83" s="172"/>
      <c r="N83" s="172"/>
      <c r="O83" s="172"/>
      <c r="P83" s="172"/>
      <c r="Q83" s="258"/>
      <c r="R83" s="258"/>
      <c r="S83" s="31"/>
      <c r="T83" s="31"/>
      <c r="U83" s="31"/>
      <c r="V83" s="2"/>
      <c r="W83" s="2"/>
      <c r="X83" s="2"/>
    </row>
    <row r="84" spans="1:24" s="52" customFormat="1" x14ac:dyDescent="0.3">
      <c r="A84" s="260">
        <v>45</v>
      </c>
      <c r="B84" s="297">
        <v>81</v>
      </c>
      <c r="C84" s="365">
        <v>43956</v>
      </c>
      <c r="D84" s="370"/>
      <c r="E84" s="299"/>
      <c r="F84" s="532">
        <f>SUM(E84:E93)</f>
        <v>0</v>
      </c>
      <c r="G84" s="287">
        <f>H$84/10</f>
        <v>20000</v>
      </c>
      <c r="H84" s="523">
        <v>200000</v>
      </c>
      <c r="I84" s="523"/>
      <c r="J84" s="523"/>
      <c r="K84" s="526">
        <f>H84/SUM(H24+H74+H64+H54+H44+H34-I74-I64-I54-I44-J74-J64-J54-J44-I34-J34-I24-J24)</f>
        <v>0.17238154586598886</v>
      </c>
      <c r="L84" s="523">
        <f>H84*0.05</f>
        <v>10000</v>
      </c>
      <c r="M84" s="172"/>
      <c r="N84" s="172"/>
      <c r="O84" s="172"/>
      <c r="P84" s="172"/>
      <c r="Q84" s="258"/>
      <c r="R84" s="258"/>
      <c r="S84" s="31"/>
      <c r="T84" s="31"/>
      <c r="U84" s="31"/>
      <c r="V84" s="2"/>
      <c r="W84" s="2"/>
      <c r="X84" s="2"/>
    </row>
    <row r="85" spans="1:24" s="52" customFormat="1" x14ac:dyDescent="0.3">
      <c r="A85" s="260">
        <v>46</v>
      </c>
      <c r="B85" s="262">
        <v>82</v>
      </c>
      <c r="C85" s="365">
        <v>43957</v>
      </c>
      <c r="D85" s="368"/>
      <c r="E85" s="290"/>
      <c r="F85" s="533"/>
      <c r="G85" s="287">
        <f t="shared" ref="G85:G93" si="10">H$84/10</f>
        <v>20000</v>
      </c>
      <c r="H85" s="524"/>
      <c r="I85" s="524"/>
      <c r="J85" s="524"/>
      <c r="K85" s="527"/>
      <c r="L85" s="524"/>
      <c r="M85" s="172"/>
      <c r="N85" s="172"/>
      <c r="O85" s="172"/>
      <c r="P85" s="172"/>
      <c r="Q85" s="258"/>
      <c r="R85" s="258"/>
      <c r="S85" s="31"/>
      <c r="T85" s="31"/>
      <c r="U85" s="31"/>
      <c r="V85" s="2"/>
      <c r="W85" s="2"/>
      <c r="X85" s="2"/>
    </row>
    <row r="86" spans="1:24" s="52" customFormat="1" x14ac:dyDescent="0.3">
      <c r="A86" s="260">
        <v>47</v>
      </c>
      <c r="B86" s="262">
        <v>83</v>
      </c>
      <c r="C86" s="365">
        <v>43958</v>
      </c>
      <c r="D86" s="368"/>
      <c r="E86" s="290"/>
      <c r="F86" s="533"/>
      <c r="G86" s="287">
        <f t="shared" si="10"/>
        <v>20000</v>
      </c>
      <c r="H86" s="524"/>
      <c r="I86" s="524"/>
      <c r="J86" s="524"/>
      <c r="K86" s="527"/>
      <c r="L86" s="524"/>
      <c r="M86" s="172"/>
      <c r="N86" s="172"/>
      <c r="O86" s="172"/>
      <c r="P86" s="172"/>
      <c r="Q86" s="258"/>
      <c r="R86" s="258"/>
      <c r="S86" s="31"/>
      <c r="T86" s="31"/>
      <c r="U86" s="31"/>
      <c r="V86" s="2"/>
      <c r="W86" s="2"/>
      <c r="X86" s="2"/>
    </row>
    <row r="87" spans="1:24" s="52" customFormat="1" x14ac:dyDescent="0.3">
      <c r="A87" s="260">
        <v>48</v>
      </c>
      <c r="B87" s="262">
        <v>84</v>
      </c>
      <c r="C87" s="365">
        <v>43959</v>
      </c>
      <c r="D87" s="368"/>
      <c r="E87" s="290"/>
      <c r="F87" s="533"/>
      <c r="G87" s="287">
        <f t="shared" si="10"/>
        <v>20000</v>
      </c>
      <c r="H87" s="524"/>
      <c r="I87" s="524"/>
      <c r="J87" s="524"/>
      <c r="K87" s="527"/>
      <c r="L87" s="524"/>
      <c r="M87" s="172"/>
      <c r="N87" s="172"/>
      <c r="O87" s="172"/>
      <c r="P87" s="172"/>
      <c r="Q87" s="258"/>
      <c r="R87" s="258"/>
      <c r="S87" s="31"/>
      <c r="T87" s="31"/>
      <c r="U87" s="31"/>
      <c r="V87" s="2"/>
      <c r="W87" s="2"/>
      <c r="X87" s="2"/>
    </row>
    <row r="88" spans="1:24" s="52" customFormat="1" ht="23.25" customHeight="1" x14ac:dyDescent="0.3">
      <c r="A88" s="260">
        <v>49</v>
      </c>
      <c r="B88" s="262">
        <v>85</v>
      </c>
      <c r="C88" s="365">
        <v>43960</v>
      </c>
      <c r="D88" s="368"/>
      <c r="E88" s="290"/>
      <c r="F88" s="533"/>
      <c r="G88" s="287">
        <f t="shared" si="10"/>
        <v>20000</v>
      </c>
      <c r="H88" s="524"/>
      <c r="I88" s="524"/>
      <c r="J88" s="524"/>
      <c r="K88" s="527"/>
      <c r="L88" s="524"/>
      <c r="M88" s="172"/>
      <c r="N88" s="172"/>
      <c r="O88" s="172"/>
      <c r="P88" s="172"/>
      <c r="Q88" s="258"/>
      <c r="R88" s="258"/>
      <c r="S88" s="31"/>
      <c r="T88" s="31"/>
      <c r="U88" s="31"/>
      <c r="V88" s="2"/>
      <c r="W88" s="2"/>
      <c r="X88" s="2"/>
    </row>
    <row r="89" spans="1:24" s="52" customFormat="1" x14ac:dyDescent="0.3">
      <c r="A89" s="260">
        <v>50</v>
      </c>
      <c r="B89" s="262">
        <v>86</v>
      </c>
      <c r="C89" s="365">
        <v>43961</v>
      </c>
      <c r="D89" s="368"/>
      <c r="E89" s="290"/>
      <c r="F89" s="533"/>
      <c r="G89" s="287">
        <f t="shared" si="10"/>
        <v>20000</v>
      </c>
      <c r="H89" s="524"/>
      <c r="I89" s="524"/>
      <c r="J89" s="524"/>
      <c r="K89" s="527"/>
      <c r="L89" s="524"/>
      <c r="M89" s="172"/>
      <c r="N89" s="172"/>
      <c r="O89" s="172"/>
      <c r="P89" s="172"/>
      <c r="Q89" s="258"/>
      <c r="R89" s="258"/>
      <c r="S89" s="31"/>
      <c r="T89" s="31"/>
      <c r="U89" s="31"/>
      <c r="V89" s="2"/>
      <c r="W89" s="2"/>
      <c r="X89" s="2"/>
    </row>
    <row r="90" spans="1:24" s="52" customFormat="1" x14ac:dyDescent="0.3">
      <c r="A90" s="260">
        <v>51</v>
      </c>
      <c r="B90" s="262">
        <v>87</v>
      </c>
      <c r="C90" s="365">
        <v>43962</v>
      </c>
      <c r="D90" s="368"/>
      <c r="E90" s="290"/>
      <c r="F90" s="533"/>
      <c r="G90" s="287">
        <f t="shared" si="10"/>
        <v>20000</v>
      </c>
      <c r="H90" s="524"/>
      <c r="I90" s="524"/>
      <c r="J90" s="524"/>
      <c r="K90" s="527"/>
      <c r="L90" s="524"/>
      <c r="M90" s="172"/>
      <c r="N90" s="172"/>
      <c r="O90" s="172"/>
      <c r="P90" s="172"/>
      <c r="Q90" s="258"/>
      <c r="R90" s="258"/>
      <c r="S90" s="31"/>
      <c r="T90" s="31"/>
      <c r="U90" s="31"/>
      <c r="V90" s="2"/>
      <c r="W90" s="2"/>
      <c r="X90" s="2"/>
    </row>
    <row r="91" spans="1:24" s="52" customFormat="1" x14ac:dyDescent="0.3">
      <c r="A91" s="260">
        <v>52</v>
      </c>
      <c r="B91" s="262">
        <v>88</v>
      </c>
      <c r="C91" s="365">
        <v>43963</v>
      </c>
      <c r="D91" s="368"/>
      <c r="E91" s="290"/>
      <c r="F91" s="533"/>
      <c r="G91" s="287">
        <f t="shared" si="10"/>
        <v>20000</v>
      </c>
      <c r="H91" s="524"/>
      <c r="I91" s="524"/>
      <c r="J91" s="524"/>
      <c r="K91" s="527"/>
      <c r="L91" s="524"/>
      <c r="M91" s="172"/>
      <c r="N91" s="172"/>
      <c r="O91" s="172"/>
      <c r="P91" s="172"/>
      <c r="Q91" s="258"/>
      <c r="R91" s="258"/>
      <c r="S91" s="31"/>
      <c r="T91" s="31"/>
      <c r="U91" s="31"/>
      <c r="V91" s="2"/>
      <c r="W91" s="2"/>
      <c r="X91" s="2"/>
    </row>
    <row r="92" spans="1:24" s="52" customFormat="1" x14ac:dyDescent="0.3">
      <c r="A92" s="260">
        <v>53</v>
      </c>
      <c r="B92" s="262">
        <v>89</v>
      </c>
      <c r="C92" s="365">
        <v>43964</v>
      </c>
      <c r="D92" s="368"/>
      <c r="E92" s="290"/>
      <c r="F92" s="533"/>
      <c r="G92" s="287">
        <f t="shared" si="10"/>
        <v>20000</v>
      </c>
      <c r="H92" s="524"/>
      <c r="I92" s="524"/>
      <c r="J92" s="524"/>
      <c r="K92" s="527"/>
      <c r="L92" s="524"/>
      <c r="M92" s="172"/>
      <c r="N92" s="172"/>
      <c r="O92" s="172"/>
      <c r="P92" s="172"/>
      <c r="Q92" s="258"/>
      <c r="R92" s="258"/>
      <c r="S92" s="31"/>
      <c r="T92" s="31"/>
      <c r="U92" s="31"/>
      <c r="V92" s="2"/>
      <c r="W92" s="2"/>
      <c r="X92" s="2"/>
    </row>
    <row r="93" spans="1:24" s="52" customFormat="1" ht="19.5" thickBot="1" x14ac:dyDescent="0.35">
      <c r="A93" s="260">
        <v>54</v>
      </c>
      <c r="B93" s="263">
        <v>90</v>
      </c>
      <c r="C93" s="366">
        <v>43965</v>
      </c>
      <c r="D93" s="369"/>
      <c r="E93" s="293"/>
      <c r="F93" s="534"/>
      <c r="G93" s="287">
        <f t="shared" si="10"/>
        <v>20000</v>
      </c>
      <c r="H93" s="525"/>
      <c r="I93" s="525"/>
      <c r="J93" s="525"/>
      <c r="K93" s="528"/>
      <c r="L93" s="525"/>
      <c r="M93" s="172"/>
      <c r="N93" s="172"/>
      <c r="O93" s="172"/>
      <c r="P93" s="172"/>
      <c r="Q93" s="258"/>
      <c r="R93" s="258"/>
      <c r="S93" s="31"/>
      <c r="T93" s="31"/>
      <c r="U93" s="31"/>
      <c r="V93" s="2"/>
      <c r="W93" s="2"/>
      <c r="X93" s="2"/>
    </row>
    <row r="94" spans="1:24" s="52" customFormat="1" x14ac:dyDescent="0.3">
      <c r="A94" s="260">
        <v>55</v>
      </c>
      <c r="B94" s="261">
        <v>91</v>
      </c>
      <c r="C94" s="364">
        <v>43966</v>
      </c>
      <c r="D94" s="367"/>
      <c r="E94" s="286"/>
      <c r="F94" s="532">
        <f>SUM(E94:E103)</f>
        <v>0</v>
      </c>
      <c r="G94" s="287">
        <f>H$94/10</f>
        <v>15000</v>
      </c>
      <c r="H94" s="523">
        <v>150000</v>
      </c>
      <c r="I94" s="523"/>
      <c r="J94" s="523"/>
      <c r="K94" s="526">
        <f>H94/SUM(H24+H34+H84+H74+H64+H54+H44-I84-I74-I64-I54-J84-J74-J64-J54-I44-J44-I34-J34-I24-J24)</f>
        <v>0.11027652205493682</v>
      </c>
      <c r="L94" s="523">
        <f>H94*0.05</f>
        <v>7500</v>
      </c>
      <c r="M94" s="172"/>
      <c r="N94" s="172"/>
      <c r="O94" s="172"/>
      <c r="P94" s="172"/>
      <c r="Q94" s="258"/>
      <c r="R94" s="258"/>
      <c r="S94" s="31"/>
      <c r="T94" s="31"/>
      <c r="U94" s="31"/>
      <c r="V94" s="2"/>
      <c r="W94" s="2"/>
      <c r="X94" s="2"/>
    </row>
    <row r="95" spans="1:24" s="52" customFormat="1" x14ac:dyDescent="0.3">
      <c r="A95" s="260">
        <v>56</v>
      </c>
      <c r="B95" s="262">
        <v>92</v>
      </c>
      <c r="C95" s="365">
        <v>43967</v>
      </c>
      <c r="D95" s="368"/>
      <c r="E95" s="290"/>
      <c r="F95" s="533"/>
      <c r="G95" s="287">
        <f t="shared" ref="G95:G103" si="11">H$94/10</f>
        <v>15000</v>
      </c>
      <c r="H95" s="524"/>
      <c r="I95" s="524"/>
      <c r="J95" s="524"/>
      <c r="K95" s="527"/>
      <c r="L95" s="524"/>
      <c r="M95" s="172"/>
      <c r="N95" s="172"/>
      <c r="O95" s="172"/>
      <c r="P95" s="172"/>
      <c r="Q95" s="258"/>
      <c r="R95" s="258"/>
      <c r="S95" s="31"/>
      <c r="T95" s="31"/>
      <c r="U95" s="31"/>
      <c r="V95" s="2"/>
      <c r="W95" s="2"/>
      <c r="X95" s="2"/>
    </row>
    <row r="96" spans="1:24" s="52" customFormat="1" x14ac:dyDescent="0.3">
      <c r="A96" s="260">
        <v>57</v>
      </c>
      <c r="B96" s="262">
        <v>93</v>
      </c>
      <c r="C96" s="365">
        <v>43968</v>
      </c>
      <c r="D96" s="368"/>
      <c r="E96" s="290"/>
      <c r="F96" s="533"/>
      <c r="G96" s="287">
        <f t="shared" si="11"/>
        <v>15000</v>
      </c>
      <c r="H96" s="524"/>
      <c r="I96" s="524"/>
      <c r="J96" s="524"/>
      <c r="K96" s="527"/>
      <c r="L96" s="524"/>
      <c r="M96" s="172"/>
      <c r="N96" s="172"/>
      <c r="O96" s="172"/>
      <c r="P96" s="172"/>
      <c r="Q96" s="258"/>
      <c r="R96" s="258"/>
      <c r="S96" s="31"/>
      <c r="T96" s="31"/>
      <c r="U96" s="31"/>
      <c r="V96" s="2"/>
      <c r="W96" s="2"/>
      <c r="X96" s="2"/>
    </row>
    <row r="97" spans="1:24" s="52" customFormat="1" x14ac:dyDescent="0.3">
      <c r="A97" s="260">
        <v>58</v>
      </c>
      <c r="B97" s="262">
        <v>94</v>
      </c>
      <c r="C97" s="365">
        <v>43969</v>
      </c>
      <c r="D97" s="368"/>
      <c r="E97" s="290"/>
      <c r="F97" s="533"/>
      <c r="G97" s="287">
        <f t="shared" si="11"/>
        <v>15000</v>
      </c>
      <c r="H97" s="524"/>
      <c r="I97" s="524"/>
      <c r="J97" s="524"/>
      <c r="K97" s="527"/>
      <c r="L97" s="524"/>
      <c r="M97" s="172"/>
      <c r="N97" s="172"/>
      <c r="O97" s="172"/>
      <c r="P97" s="172"/>
      <c r="Q97" s="258"/>
      <c r="R97" s="258"/>
      <c r="S97" s="31"/>
      <c r="T97" s="31"/>
      <c r="U97" s="31"/>
      <c r="V97" s="2"/>
      <c r="W97" s="2"/>
      <c r="X97" s="2"/>
    </row>
    <row r="98" spans="1:24" s="52" customFormat="1" x14ac:dyDescent="0.3">
      <c r="A98" s="260">
        <v>59</v>
      </c>
      <c r="B98" s="262">
        <v>95</v>
      </c>
      <c r="C98" s="365">
        <v>43970</v>
      </c>
      <c r="D98" s="368"/>
      <c r="E98" s="290"/>
      <c r="F98" s="533"/>
      <c r="G98" s="287">
        <f t="shared" si="11"/>
        <v>15000</v>
      </c>
      <c r="H98" s="524"/>
      <c r="I98" s="524"/>
      <c r="J98" s="524"/>
      <c r="K98" s="527"/>
      <c r="L98" s="524"/>
      <c r="M98" s="172"/>
      <c r="N98" s="172"/>
      <c r="O98" s="172"/>
      <c r="P98" s="172"/>
      <c r="Q98" s="258"/>
      <c r="R98" s="258"/>
      <c r="S98" s="31"/>
      <c r="T98" s="31"/>
      <c r="U98" s="31"/>
      <c r="V98" s="2"/>
      <c r="W98" s="2"/>
      <c r="X98" s="2"/>
    </row>
    <row r="99" spans="1:24" s="52" customFormat="1" x14ac:dyDescent="0.3">
      <c r="A99" s="260">
        <v>60</v>
      </c>
      <c r="B99" s="262">
        <v>96</v>
      </c>
      <c r="C99" s="365">
        <v>43971</v>
      </c>
      <c r="D99" s="368"/>
      <c r="E99" s="290"/>
      <c r="F99" s="533"/>
      <c r="G99" s="287">
        <f t="shared" si="11"/>
        <v>15000</v>
      </c>
      <c r="H99" s="524"/>
      <c r="I99" s="524"/>
      <c r="J99" s="524"/>
      <c r="K99" s="527"/>
      <c r="L99" s="524"/>
      <c r="M99" s="172"/>
      <c r="N99" s="172"/>
      <c r="O99" s="172"/>
      <c r="P99" s="172"/>
      <c r="Q99" s="258"/>
      <c r="R99" s="258"/>
      <c r="S99" s="31"/>
      <c r="T99" s="31"/>
      <c r="U99" s="31"/>
      <c r="V99" s="2"/>
      <c r="W99" s="2"/>
      <c r="X99" s="2"/>
    </row>
    <row r="100" spans="1:24" s="52" customFormat="1" x14ac:dyDescent="0.3">
      <c r="A100" s="260">
        <v>61</v>
      </c>
      <c r="B100" s="262">
        <v>97</v>
      </c>
      <c r="C100" s="365">
        <v>43972</v>
      </c>
      <c r="D100" s="368"/>
      <c r="E100" s="290"/>
      <c r="F100" s="533"/>
      <c r="G100" s="287">
        <f t="shared" si="11"/>
        <v>15000</v>
      </c>
      <c r="H100" s="524"/>
      <c r="I100" s="524"/>
      <c r="J100" s="524"/>
      <c r="K100" s="527"/>
      <c r="L100" s="524"/>
      <c r="M100" s="172"/>
      <c r="N100" s="172"/>
      <c r="O100" s="172"/>
      <c r="P100" s="172"/>
      <c r="Q100" s="258"/>
      <c r="R100" s="258"/>
      <c r="S100" s="31"/>
      <c r="T100" s="31"/>
      <c r="U100" s="31"/>
      <c r="V100" s="2"/>
      <c r="W100" s="2"/>
      <c r="X100" s="2"/>
    </row>
    <row r="101" spans="1:24" s="52" customFormat="1" x14ac:dyDescent="0.3">
      <c r="A101" s="260">
        <v>62</v>
      </c>
      <c r="B101" s="262">
        <v>98</v>
      </c>
      <c r="C101" s="365">
        <v>43973</v>
      </c>
      <c r="D101" s="368"/>
      <c r="E101" s="290"/>
      <c r="F101" s="533"/>
      <c r="G101" s="287">
        <f t="shared" si="11"/>
        <v>15000</v>
      </c>
      <c r="H101" s="524"/>
      <c r="I101" s="524"/>
      <c r="J101" s="524"/>
      <c r="K101" s="527"/>
      <c r="L101" s="524"/>
      <c r="M101" s="172"/>
      <c r="N101" s="172"/>
      <c r="O101" s="172"/>
      <c r="P101" s="172"/>
      <c r="Q101" s="258"/>
      <c r="R101" s="258"/>
      <c r="S101" s="31"/>
      <c r="T101" s="31"/>
      <c r="U101" s="31"/>
      <c r="V101" s="2"/>
      <c r="W101" s="2"/>
      <c r="X101" s="2"/>
    </row>
    <row r="102" spans="1:24" s="52" customFormat="1" x14ac:dyDescent="0.3">
      <c r="A102" s="260">
        <v>63</v>
      </c>
      <c r="B102" s="262">
        <v>99</v>
      </c>
      <c r="C102" s="365">
        <v>43974</v>
      </c>
      <c r="D102" s="368"/>
      <c r="E102" s="290"/>
      <c r="F102" s="533"/>
      <c r="G102" s="287">
        <f t="shared" si="11"/>
        <v>15000</v>
      </c>
      <c r="H102" s="524"/>
      <c r="I102" s="524"/>
      <c r="J102" s="524"/>
      <c r="K102" s="527"/>
      <c r="L102" s="524"/>
      <c r="M102" s="172"/>
      <c r="N102" s="172"/>
      <c r="O102" s="172"/>
      <c r="P102" s="172"/>
      <c r="Q102" s="258"/>
      <c r="R102" s="258"/>
      <c r="S102" s="31"/>
      <c r="T102" s="31"/>
      <c r="U102" s="31"/>
      <c r="V102" s="2"/>
      <c r="W102" s="2"/>
      <c r="X102" s="2"/>
    </row>
    <row r="103" spans="1:24" s="52" customFormat="1" ht="19.5" thickBot="1" x14ac:dyDescent="0.35">
      <c r="A103" s="260">
        <v>64</v>
      </c>
      <c r="B103" s="263">
        <v>100</v>
      </c>
      <c r="C103" s="366">
        <v>43975</v>
      </c>
      <c r="D103" s="369"/>
      <c r="E103" s="293"/>
      <c r="F103" s="534"/>
      <c r="G103" s="287">
        <f t="shared" si="11"/>
        <v>15000</v>
      </c>
      <c r="H103" s="525"/>
      <c r="I103" s="525"/>
      <c r="J103" s="525"/>
      <c r="K103" s="528"/>
      <c r="L103" s="525"/>
      <c r="M103" s="172"/>
      <c r="N103" s="172"/>
      <c r="O103" s="172"/>
      <c r="P103" s="172"/>
      <c r="Q103" s="258"/>
      <c r="R103" s="258"/>
      <c r="S103" s="31"/>
      <c r="T103" s="31"/>
      <c r="U103" s="31"/>
      <c r="V103" s="2"/>
      <c r="W103" s="2"/>
      <c r="X103" s="2"/>
    </row>
    <row r="104" spans="1:24" s="52" customFormat="1" ht="23.25" customHeight="1" x14ac:dyDescent="0.3">
      <c r="A104" s="260">
        <v>65</v>
      </c>
      <c r="B104" s="297">
        <v>101</v>
      </c>
      <c r="C104" s="365">
        <v>43976</v>
      </c>
      <c r="D104" s="370"/>
      <c r="E104" s="299"/>
      <c r="F104" s="532">
        <f>SUM(E104:E113)</f>
        <v>0</v>
      </c>
      <c r="G104" s="287">
        <f>H$104/10</f>
        <v>13000</v>
      </c>
      <c r="H104" s="523">
        <v>130000</v>
      </c>
      <c r="I104" s="523"/>
      <c r="J104" s="523"/>
      <c r="K104" s="526">
        <f>H104/SUM(H44+H94+H84+H74+H64+H54-I94-I84-I74-I64-J94-J84-J74-J64-I54-J54-I44-J44)</f>
        <v>9.0080975867999499E-2</v>
      </c>
      <c r="L104" s="523">
        <f>H104*0.05</f>
        <v>6500</v>
      </c>
      <c r="M104" s="172"/>
      <c r="N104" s="172"/>
      <c r="O104" s="172"/>
      <c r="P104" s="172"/>
      <c r="Q104" s="258"/>
      <c r="R104" s="258"/>
      <c r="S104" s="31"/>
      <c r="T104" s="31"/>
      <c r="U104" s="31"/>
      <c r="V104" s="2"/>
      <c r="W104" s="2"/>
      <c r="X104" s="2"/>
    </row>
    <row r="105" spans="1:24" s="52" customFormat="1" ht="23.25" customHeight="1" x14ac:dyDescent="0.3">
      <c r="A105" s="260">
        <v>66</v>
      </c>
      <c r="B105" s="262">
        <v>102</v>
      </c>
      <c r="C105" s="365">
        <v>43977</v>
      </c>
      <c r="D105" s="368"/>
      <c r="E105" s="290"/>
      <c r="F105" s="533"/>
      <c r="G105" s="287">
        <f t="shared" ref="G105:G113" si="12">H$104/10</f>
        <v>13000</v>
      </c>
      <c r="H105" s="524"/>
      <c r="I105" s="524"/>
      <c r="J105" s="524"/>
      <c r="K105" s="527"/>
      <c r="L105" s="524"/>
      <c r="M105" s="172"/>
      <c r="N105" s="172"/>
      <c r="O105" s="172"/>
      <c r="P105" s="172"/>
      <c r="Q105" s="258"/>
      <c r="R105" s="258"/>
      <c r="S105" s="31"/>
      <c r="T105" s="31"/>
      <c r="U105" s="31"/>
      <c r="V105" s="2"/>
      <c r="W105" s="2"/>
      <c r="X105" s="2"/>
    </row>
    <row r="106" spans="1:24" s="52" customFormat="1" ht="23.25" customHeight="1" x14ac:dyDescent="0.3">
      <c r="A106" s="260">
        <v>67</v>
      </c>
      <c r="B106" s="262">
        <v>103</v>
      </c>
      <c r="C106" s="365">
        <v>43978</v>
      </c>
      <c r="D106" s="368"/>
      <c r="E106" s="290"/>
      <c r="F106" s="533"/>
      <c r="G106" s="287">
        <f t="shared" si="12"/>
        <v>13000</v>
      </c>
      <c r="H106" s="524"/>
      <c r="I106" s="524"/>
      <c r="J106" s="524"/>
      <c r="K106" s="527"/>
      <c r="L106" s="524"/>
      <c r="M106" s="172"/>
      <c r="N106" s="172"/>
      <c r="O106" s="172"/>
      <c r="P106" s="172"/>
      <c r="Q106" s="258"/>
      <c r="R106" s="258"/>
      <c r="S106" s="31"/>
      <c r="T106" s="31"/>
      <c r="U106" s="31"/>
      <c r="V106" s="2"/>
      <c r="W106" s="2"/>
      <c r="X106" s="2"/>
    </row>
    <row r="107" spans="1:24" s="52" customFormat="1" ht="23.25" customHeight="1" x14ac:dyDescent="0.3">
      <c r="A107" s="260">
        <v>68</v>
      </c>
      <c r="B107" s="262">
        <v>104</v>
      </c>
      <c r="C107" s="365">
        <v>43979</v>
      </c>
      <c r="D107" s="368"/>
      <c r="E107" s="290"/>
      <c r="F107" s="533"/>
      <c r="G107" s="287">
        <f t="shared" si="12"/>
        <v>13000</v>
      </c>
      <c r="H107" s="524"/>
      <c r="I107" s="524"/>
      <c r="J107" s="524"/>
      <c r="K107" s="527"/>
      <c r="L107" s="524"/>
      <c r="M107" s="172"/>
      <c r="N107" s="172"/>
      <c r="O107" s="172"/>
      <c r="P107" s="172"/>
      <c r="Q107" s="258"/>
      <c r="R107" s="258"/>
      <c r="S107" s="31"/>
      <c r="T107" s="31"/>
      <c r="U107" s="31"/>
      <c r="V107" s="2"/>
      <c r="W107" s="2"/>
      <c r="X107" s="2"/>
    </row>
    <row r="108" spans="1:24" s="52" customFormat="1" ht="23.25" customHeight="1" x14ac:dyDescent="0.3">
      <c r="A108" s="260">
        <v>69</v>
      </c>
      <c r="B108" s="262">
        <v>105</v>
      </c>
      <c r="C108" s="365">
        <v>43980</v>
      </c>
      <c r="D108" s="368"/>
      <c r="E108" s="290"/>
      <c r="F108" s="533"/>
      <c r="G108" s="287">
        <f t="shared" si="12"/>
        <v>13000</v>
      </c>
      <c r="H108" s="524"/>
      <c r="I108" s="524"/>
      <c r="J108" s="524"/>
      <c r="K108" s="527"/>
      <c r="L108" s="524"/>
      <c r="M108" s="172"/>
      <c r="N108" s="172"/>
      <c r="O108" s="172"/>
      <c r="P108" s="172"/>
      <c r="Q108" s="258"/>
      <c r="R108" s="258"/>
      <c r="S108" s="31"/>
      <c r="T108" s="31"/>
      <c r="U108" s="31"/>
      <c r="V108" s="2"/>
      <c r="W108" s="2"/>
      <c r="X108" s="2"/>
    </row>
    <row r="109" spans="1:24" s="52" customFormat="1" ht="23.25" customHeight="1" x14ac:dyDescent="0.3">
      <c r="A109" s="260">
        <v>70</v>
      </c>
      <c r="B109" s="262">
        <v>106</v>
      </c>
      <c r="C109" s="365">
        <v>43981</v>
      </c>
      <c r="D109" s="368"/>
      <c r="E109" s="290"/>
      <c r="F109" s="533"/>
      <c r="G109" s="287">
        <f t="shared" si="12"/>
        <v>13000</v>
      </c>
      <c r="H109" s="524"/>
      <c r="I109" s="524"/>
      <c r="J109" s="524"/>
      <c r="K109" s="527"/>
      <c r="L109" s="524"/>
      <c r="M109" s="172"/>
      <c r="N109" s="172"/>
      <c r="O109" s="172"/>
      <c r="P109" s="172"/>
      <c r="Q109" s="258"/>
      <c r="R109" s="258"/>
      <c r="S109" s="31"/>
      <c r="T109" s="31"/>
      <c r="U109" s="31"/>
      <c r="V109" s="2"/>
      <c r="W109" s="2"/>
      <c r="X109" s="2"/>
    </row>
    <row r="110" spans="1:24" s="52" customFormat="1" ht="23.25" customHeight="1" x14ac:dyDescent="0.3">
      <c r="A110" s="260">
        <v>71</v>
      </c>
      <c r="B110" s="262">
        <v>107</v>
      </c>
      <c r="C110" s="365">
        <v>43982</v>
      </c>
      <c r="D110" s="368"/>
      <c r="E110" s="290"/>
      <c r="F110" s="533"/>
      <c r="G110" s="287">
        <f t="shared" si="12"/>
        <v>13000</v>
      </c>
      <c r="H110" s="524"/>
      <c r="I110" s="524"/>
      <c r="J110" s="524"/>
      <c r="K110" s="527"/>
      <c r="L110" s="524"/>
      <c r="M110" s="172"/>
      <c r="N110" s="172"/>
      <c r="O110" s="172"/>
      <c r="P110" s="172"/>
      <c r="Q110" s="258"/>
      <c r="R110" s="258"/>
      <c r="S110" s="31"/>
      <c r="T110" s="31"/>
      <c r="U110" s="31"/>
      <c r="V110" s="2"/>
      <c r="W110" s="2"/>
      <c r="X110" s="2"/>
    </row>
    <row r="111" spans="1:24" s="52" customFormat="1" ht="23.25" customHeight="1" x14ac:dyDescent="0.3">
      <c r="A111" s="260">
        <v>72</v>
      </c>
      <c r="B111" s="262">
        <v>108</v>
      </c>
      <c r="C111" s="365">
        <v>43983</v>
      </c>
      <c r="D111" s="368"/>
      <c r="E111" s="290"/>
      <c r="F111" s="533"/>
      <c r="G111" s="287">
        <f t="shared" si="12"/>
        <v>13000</v>
      </c>
      <c r="H111" s="524"/>
      <c r="I111" s="524"/>
      <c r="J111" s="524"/>
      <c r="K111" s="527"/>
      <c r="L111" s="524"/>
      <c r="M111" s="172"/>
      <c r="N111" s="172"/>
      <c r="O111" s="172"/>
      <c r="P111" s="172"/>
      <c r="Q111" s="258"/>
      <c r="R111" s="258"/>
      <c r="S111" s="31"/>
      <c r="T111" s="31"/>
      <c r="U111" s="31"/>
      <c r="V111" s="2"/>
      <c r="W111" s="2"/>
      <c r="X111" s="2"/>
    </row>
    <row r="112" spans="1:24" s="52" customFormat="1" ht="23.25" customHeight="1" x14ac:dyDescent="0.3">
      <c r="A112" s="260">
        <v>73</v>
      </c>
      <c r="B112" s="262">
        <v>109</v>
      </c>
      <c r="C112" s="365">
        <v>43984</v>
      </c>
      <c r="D112" s="368"/>
      <c r="E112" s="290"/>
      <c r="F112" s="533"/>
      <c r="G112" s="287">
        <f t="shared" si="12"/>
        <v>13000</v>
      </c>
      <c r="H112" s="524"/>
      <c r="I112" s="524"/>
      <c r="J112" s="524"/>
      <c r="K112" s="527"/>
      <c r="L112" s="524"/>
      <c r="M112" s="172"/>
      <c r="N112" s="172"/>
      <c r="O112" s="172"/>
      <c r="P112" s="172"/>
      <c r="Q112" s="258"/>
      <c r="R112" s="258"/>
      <c r="S112" s="31"/>
      <c r="T112" s="31"/>
      <c r="U112" s="31"/>
      <c r="V112" s="2"/>
      <c r="W112" s="2"/>
      <c r="X112" s="2"/>
    </row>
    <row r="113" spans="1:24" s="52" customFormat="1" ht="24.75" customHeight="1" thickBot="1" x14ac:dyDescent="0.35">
      <c r="A113" s="260">
        <v>74</v>
      </c>
      <c r="B113" s="300">
        <v>110</v>
      </c>
      <c r="C113" s="371">
        <v>43985</v>
      </c>
      <c r="D113" s="372"/>
      <c r="E113" s="303"/>
      <c r="F113" s="534"/>
      <c r="G113" s="287">
        <f t="shared" si="12"/>
        <v>13000</v>
      </c>
      <c r="H113" s="525"/>
      <c r="I113" s="525"/>
      <c r="J113" s="525"/>
      <c r="K113" s="528"/>
      <c r="L113" s="525"/>
      <c r="M113" s="172"/>
      <c r="N113" s="172"/>
      <c r="O113" s="172"/>
      <c r="P113" s="172"/>
      <c r="Q113" s="258"/>
      <c r="R113" s="258"/>
      <c r="S113" s="31"/>
      <c r="T113" s="31"/>
      <c r="U113" s="31"/>
      <c r="V113" s="2"/>
      <c r="W113" s="2"/>
      <c r="X113" s="2"/>
    </row>
    <row r="114" spans="1:24" s="52" customFormat="1" ht="18" customHeight="1" x14ac:dyDescent="0.3">
      <c r="A114" s="260">
        <v>75</v>
      </c>
      <c r="B114" s="261">
        <v>111</v>
      </c>
      <c r="C114" s="364">
        <v>43986</v>
      </c>
      <c r="D114" s="367"/>
      <c r="E114" s="286"/>
      <c r="F114" s="532">
        <f>SUM(E114:E123)</f>
        <v>0</v>
      </c>
      <c r="G114" s="287">
        <f>H$114/10</f>
        <v>12000</v>
      </c>
      <c r="H114" s="523">
        <v>120000</v>
      </c>
      <c r="I114" s="523"/>
      <c r="J114" s="523"/>
      <c r="K114" s="526">
        <f>H114/SUM(H44+H54+H104+H94+H84+H74+H64-I104-I94-I84-I74-J104-J94-J84-J74-I64-J64-I54-J54-I44-J44)</f>
        <v>7.6280268964228362E-2</v>
      </c>
      <c r="L114" s="523">
        <f>H114*0.05</f>
        <v>6000</v>
      </c>
      <c r="M114" s="172"/>
      <c r="N114" s="172"/>
      <c r="O114" s="172"/>
      <c r="P114" s="172"/>
      <c r="Q114" s="258"/>
      <c r="R114" s="258"/>
      <c r="S114" s="31"/>
      <c r="T114" s="31"/>
      <c r="U114" s="31"/>
      <c r="V114" s="2"/>
      <c r="W114" s="2"/>
      <c r="X114" s="2"/>
    </row>
    <row r="115" spans="1:24" s="52" customFormat="1" ht="18" customHeight="1" x14ac:dyDescent="0.3">
      <c r="A115" s="260">
        <v>76</v>
      </c>
      <c r="B115" s="262">
        <v>112</v>
      </c>
      <c r="C115" s="365">
        <v>43987</v>
      </c>
      <c r="D115" s="368"/>
      <c r="E115" s="290"/>
      <c r="F115" s="533"/>
      <c r="G115" s="287">
        <f t="shared" ref="G115:G123" si="13">H$114/10</f>
        <v>12000</v>
      </c>
      <c r="H115" s="524"/>
      <c r="I115" s="524"/>
      <c r="J115" s="524"/>
      <c r="K115" s="527"/>
      <c r="L115" s="524"/>
      <c r="M115" s="172"/>
      <c r="N115" s="172"/>
      <c r="O115" s="172"/>
      <c r="P115" s="172"/>
      <c r="Q115" s="258"/>
      <c r="R115" s="258"/>
      <c r="S115" s="31"/>
      <c r="T115" s="31"/>
      <c r="U115" s="31"/>
      <c r="V115" s="2"/>
      <c r="W115" s="2"/>
      <c r="X115" s="2"/>
    </row>
    <row r="116" spans="1:24" s="52" customFormat="1" ht="18" customHeight="1" x14ac:dyDescent="0.3">
      <c r="A116" s="260">
        <v>77</v>
      </c>
      <c r="B116" s="262">
        <v>113</v>
      </c>
      <c r="C116" s="365">
        <v>43988</v>
      </c>
      <c r="D116" s="368"/>
      <c r="E116" s="290"/>
      <c r="F116" s="533"/>
      <c r="G116" s="287">
        <f t="shared" si="13"/>
        <v>12000</v>
      </c>
      <c r="H116" s="524"/>
      <c r="I116" s="524"/>
      <c r="J116" s="524"/>
      <c r="K116" s="527"/>
      <c r="L116" s="524"/>
      <c r="M116" s="172"/>
      <c r="N116" s="172"/>
      <c r="O116" s="172"/>
      <c r="P116" s="172"/>
      <c r="Q116" s="258"/>
      <c r="R116" s="258"/>
      <c r="S116" s="31"/>
      <c r="T116" s="31"/>
      <c r="U116" s="31"/>
      <c r="V116" s="2"/>
      <c r="W116" s="2"/>
      <c r="X116" s="2"/>
    </row>
    <row r="117" spans="1:24" s="52" customFormat="1" ht="18" customHeight="1" x14ac:dyDescent="0.3">
      <c r="A117" s="260">
        <v>78</v>
      </c>
      <c r="B117" s="262">
        <v>114</v>
      </c>
      <c r="C117" s="365">
        <v>43989</v>
      </c>
      <c r="D117" s="368"/>
      <c r="E117" s="290"/>
      <c r="F117" s="533"/>
      <c r="G117" s="287">
        <f t="shared" si="13"/>
        <v>12000</v>
      </c>
      <c r="H117" s="524"/>
      <c r="I117" s="524"/>
      <c r="J117" s="524"/>
      <c r="K117" s="527"/>
      <c r="L117" s="524"/>
      <c r="M117" s="172"/>
      <c r="N117" s="172"/>
      <c r="O117" s="172"/>
      <c r="P117" s="172"/>
      <c r="Q117" s="258"/>
      <c r="R117" s="258"/>
      <c r="S117" s="31"/>
      <c r="T117" s="31"/>
      <c r="U117" s="31"/>
      <c r="V117" s="2"/>
      <c r="W117" s="2"/>
      <c r="X117" s="2"/>
    </row>
    <row r="118" spans="1:24" s="52" customFormat="1" ht="18" customHeight="1" x14ac:dyDescent="0.3">
      <c r="A118" s="260">
        <v>79</v>
      </c>
      <c r="B118" s="262">
        <v>115</v>
      </c>
      <c r="C118" s="365">
        <v>43990</v>
      </c>
      <c r="D118" s="368"/>
      <c r="E118" s="290"/>
      <c r="F118" s="533"/>
      <c r="G118" s="287">
        <f t="shared" si="13"/>
        <v>12000</v>
      </c>
      <c r="H118" s="524"/>
      <c r="I118" s="524"/>
      <c r="J118" s="524"/>
      <c r="K118" s="527"/>
      <c r="L118" s="524"/>
      <c r="M118" s="172"/>
      <c r="N118" s="172"/>
      <c r="O118" s="172"/>
      <c r="P118" s="172"/>
      <c r="Q118" s="258"/>
      <c r="R118" s="258"/>
      <c r="S118" s="31"/>
      <c r="T118" s="31"/>
      <c r="U118" s="31"/>
      <c r="V118" s="2"/>
      <c r="W118" s="2"/>
      <c r="X118" s="2"/>
    </row>
    <row r="119" spans="1:24" s="52" customFormat="1" ht="18" customHeight="1" x14ac:dyDescent="0.3">
      <c r="A119" s="260">
        <v>80</v>
      </c>
      <c r="B119" s="262">
        <v>116</v>
      </c>
      <c r="C119" s="365">
        <v>43991</v>
      </c>
      <c r="D119" s="368"/>
      <c r="E119" s="290"/>
      <c r="F119" s="533"/>
      <c r="G119" s="287">
        <f t="shared" si="13"/>
        <v>12000</v>
      </c>
      <c r="H119" s="524"/>
      <c r="I119" s="524"/>
      <c r="J119" s="524"/>
      <c r="K119" s="527"/>
      <c r="L119" s="524"/>
      <c r="M119" s="172"/>
      <c r="N119" s="172"/>
      <c r="O119" s="172"/>
      <c r="P119" s="172"/>
      <c r="Q119" s="258"/>
      <c r="R119" s="258"/>
      <c r="S119" s="31"/>
      <c r="T119" s="31"/>
      <c r="U119" s="31"/>
      <c r="V119" s="2"/>
      <c r="W119" s="2"/>
      <c r="X119" s="2"/>
    </row>
    <row r="120" spans="1:24" s="52" customFormat="1" ht="18" customHeight="1" x14ac:dyDescent="0.3">
      <c r="A120" s="260">
        <v>81</v>
      </c>
      <c r="B120" s="262">
        <v>117</v>
      </c>
      <c r="C120" s="365">
        <v>43992</v>
      </c>
      <c r="D120" s="368"/>
      <c r="E120" s="290"/>
      <c r="F120" s="533"/>
      <c r="G120" s="287">
        <f t="shared" si="13"/>
        <v>12000</v>
      </c>
      <c r="H120" s="524"/>
      <c r="I120" s="524"/>
      <c r="J120" s="524"/>
      <c r="K120" s="527"/>
      <c r="L120" s="524"/>
      <c r="M120" s="172"/>
      <c r="N120" s="172"/>
      <c r="O120" s="172"/>
      <c r="P120" s="172"/>
      <c r="Q120" s="258"/>
      <c r="R120" s="258"/>
      <c r="S120" s="31"/>
      <c r="T120" s="31"/>
      <c r="U120" s="31"/>
      <c r="V120" s="2"/>
      <c r="W120" s="2"/>
      <c r="X120" s="2"/>
    </row>
    <row r="121" spans="1:24" s="52" customFormat="1" ht="18" customHeight="1" x14ac:dyDescent="0.3">
      <c r="A121" s="260">
        <v>82</v>
      </c>
      <c r="B121" s="262">
        <v>118</v>
      </c>
      <c r="C121" s="365">
        <v>43993</v>
      </c>
      <c r="D121" s="368"/>
      <c r="E121" s="290"/>
      <c r="F121" s="533"/>
      <c r="G121" s="287">
        <f t="shared" si="13"/>
        <v>12000</v>
      </c>
      <c r="H121" s="524"/>
      <c r="I121" s="524"/>
      <c r="J121" s="524"/>
      <c r="K121" s="527"/>
      <c r="L121" s="524"/>
      <c r="M121" s="172"/>
      <c r="N121" s="172"/>
      <c r="O121" s="172"/>
      <c r="P121" s="172"/>
      <c r="Q121" s="258"/>
      <c r="R121" s="258"/>
      <c r="S121" s="31"/>
      <c r="T121" s="31"/>
      <c r="U121" s="31"/>
      <c r="V121" s="2"/>
      <c r="W121" s="2"/>
      <c r="X121" s="2"/>
    </row>
    <row r="122" spans="1:24" s="52" customFormat="1" ht="18" customHeight="1" x14ac:dyDescent="0.3">
      <c r="A122" s="260">
        <v>83</v>
      </c>
      <c r="B122" s="262">
        <v>119</v>
      </c>
      <c r="C122" s="365">
        <v>43994</v>
      </c>
      <c r="D122" s="368"/>
      <c r="E122" s="290"/>
      <c r="F122" s="533"/>
      <c r="G122" s="287">
        <f t="shared" si="13"/>
        <v>12000</v>
      </c>
      <c r="H122" s="524"/>
      <c r="I122" s="524"/>
      <c r="J122" s="524"/>
      <c r="K122" s="527"/>
      <c r="L122" s="524"/>
      <c r="M122" s="172"/>
      <c r="N122" s="172"/>
      <c r="O122" s="172"/>
      <c r="P122" s="172"/>
      <c r="Q122" s="258"/>
      <c r="R122" s="258"/>
      <c r="S122" s="31"/>
      <c r="T122" s="31"/>
      <c r="U122" s="31"/>
      <c r="V122" s="2"/>
      <c r="W122" s="2"/>
      <c r="X122" s="2"/>
    </row>
    <row r="123" spans="1:24" s="52" customFormat="1" ht="18.600000000000001" customHeight="1" thickBot="1" x14ac:dyDescent="0.35">
      <c r="A123" s="260">
        <v>84</v>
      </c>
      <c r="B123" s="300">
        <v>120</v>
      </c>
      <c r="C123" s="371">
        <v>43995</v>
      </c>
      <c r="D123" s="372"/>
      <c r="E123" s="303"/>
      <c r="F123" s="534"/>
      <c r="G123" s="287">
        <f t="shared" si="13"/>
        <v>12000</v>
      </c>
      <c r="H123" s="525"/>
      <c r="I123" s="525"/>
      <c r="J123" s="525"/>
      <c r="K123" s="528"/>
      <c r="L123" s="525"/>
      <c r="M123" s="172"/>
      <c r="N123" s="172"/>
      <c r="O123" s="172"/>
      <c r="P123" s="172"/>
      <c r="Q123" s="258"/>
      <c r="R123" s="258"/>
      <c r="S123" s="31"/>
      <c r="T123" s="31"/>
      <c r="U123" s="31"/>
      <c r="V123" s="2"/>
      <c r="W123" s="2"/>
      <c r="X123" s="2"/>
    </row>
    <row r="124" spans="1:24" s="52" customFormat="1" x14ac:dyDescent="0.3">
      <c r="A124" s="260">
        <v>85</v>
      </c>
      <c r="B124" s="261">
        <v>121</v>
      </c>
      <c r="C124" s="364">
        <v>43996</v>
      </c>
      <c r="D124" s="367"/>
      <c r="E124" s="286"/>
      <c r="F124" s="532">
        <f>SUM(E124:E133)</f>
        <v>0</v>
      </c>
      <c r="G124" s="287">
        <f>H$124/10</f>
        <v>10000</v>
      </c>
      <c r="H124" s="523">
        <v>100000</v>
      </c>
      <c r="I124" s="523"/>
      <c r="J124" s="523"/>
      <c r="K124" s="526">
        <f>H124/SUM(H54+H64+H114+H104+H94+H84+H74-I114-I104-I94-I84-J114-J104-J94-J84-I74-J74-I64-J64-I54-J54)</f>
        <v>6.8965517241379309E-2</v>
      </c>
      <c r="L124" s="523">
        <f>H124*0.05</f>
        <v>5000</v>
      </c>
      <c r="M124" s="172"/>
      <c r="N124" s="172"/>
      <c r="O124" s="172"/>
      <c r="P124" s="172"/>
      <c r="Q124" s="258"/>
      <c r="R124" s="258"/>
      <c r="S124" s="31"/>
      <c r="T124" s="31"/>
      <c r="U124" s="31"/>
      <c r="V124" s="2"/>
      <c r="W124" s="2"/>
      <c r="X124" s="2"/>
    </row>
    <row r="125" spans="1:24" x14ac:dyDescent="0.3">
      <c r="A125" s="260">
        <v>86</v>
      </c>
      <c r="B125" s="262">
        <v>122</v>
      </c>
      <c r="C125" s="365">
        <v>43997</v>
      </c>
      <c r="D125" s="368"/>
      <c r="E125" s="290"/>
      <c r="F125" s="533"/>
      <c r="G125" s="287">
        <f t="shared" ref="G125:G133" si="14">H$124/10</f>
        <v>10000</v>
      </c>
      <c r="H125" s="524"/>
      <c r="I125" s="524"/>
      <c r="J125" s="524"/>
      <c r="K125" s="527"/>
      <c r="L125" s="524"/>
    </row>
    <row r="126" spans="1:24" x14ac:dyDescent="0.3">
      <c r="A126" s="260">
        <v>87</v>
      </c>
      <c r="B126" s="262">
        <v>123</v>
      </c>
      <c r="C126" s="365">
        <v>43998</v>
      </c>
      <c r="D126" s="368"/>
      <c r="E126" s="290"/>
      <c r="F126" s="533"/>
      <c r="G126" s="287">
        <f t="shared" si="14"/>
        <v>10000</v>
      </c>
      <c r="H126" s="524"/>
      <c r="I126" s="524"/>
      <c r="J126" s="524"/>
      <c r="K126" s="527"/>
      <c r="L126" s="524"/>
    </row>
    <row r="127" spans="1:24" x14ac:dyDescent="0.3">
      <c r="A127" s="260">
        <v>88</v>
      </c>
      <c r="B127" s="262">
        <v>124</v>
      </c>
      <c r="C127" s="365">
        <v>43999</v>
      </c>
      <c r="D127" s="368"/>
      <c r="E127" s="290"/>
      <c r="F127" s="533"/>
      <c r="G127" s="287">
        <f t="shared" si="14"/>
        <v>10000</v>
      </c>
      <c r="H127" s="524"/>
      <c r="I127" s="524"/>
      <c r="J127" s="524"/>
      <c r="K127" s="527"/>
      <c r="L127" s="524"/>
    </row>
    <row r="128" spans="1:24" x14ac:dyDescent="0.3">
      <c r="A128" s="260">
        <v>89</v>
      </c>
      <c r="B128" s="262">
        <v>125</v>
      </c>
      <c r="C128" s="365">
        <v>44000</v>
      </c>
      <c r="D128" s="368"/>
      <c r="E128" s="290"/>
      <c r="F128" s="533"/>
      <c r="G128" s="287">
        <f t="shared" si="14"/>
        <v>10000</v>
      </c>
      <c r="H128" s="524"/>
      <c r="I128" s="524"/>
      <c r="J128" s="524"/>
      <c r="K128" s="527"/>
      <c r="L128" s="524"/>
    </row>
    <row r="129" spans="1:12" x14ac:dyDescent="0.3">
      <c r="A129" s="260">
        <v>90</v>
      </c>
      <c r="B129" s="262">
        <v>126</v>
      </c>
      <c r="C129" s="365">
        <v>44001</v>
      </c>
      <c r="D129" s="368"/>
      <c r="E129" s="290"/>
      <c r="F129" s="533"/>
      <c r="G129" s="287">
        <f t="shared" si="14"/>
        <v>10000</v>
      </c>
      <c r="H129" s="524"/>
      <c r="I129" s="524"/>
      <c r="J129" s="524"/>
      <c r="K129" s="527"/>
      <c r="L129" s="524"/>
    </row>
    <row r="130" spans="1:12" x14ac:dyDescent="0.3">
      <c r="A130" s="260">
        <v>91</v>
      </c>
      <c r="B130" s="262">
        <v>127</v>
      </c>
      <c r="C130" s="365">
        <v>44002</v>
      </c>
      <c r="D130" s="368"/>
      <c r="E130" s="290"/>
      <c r="F130" s="533"/>
      <c r="G130" s="287">
        <f t="shared" si="14"/>
        <v>10000</v>
      </c>
      <c r="H130" s="524"/>
      <c r="I130" s="524"/>
      <c r="J130" s="524"/>
      <c r="K130" s="527"/>
      <c r="L130" s="524"/>
    </row>
    <row r="131" spans="1:12" x14ac:dyDescent="0.3">
      <c r="A131" s="260">
        <v>92</v>
      </c>
      <c r="B131" s="262">
        <v>128</v>
      </c>
      <c r="C131" s="365">
        <v>44003</v>
      </c>
      <c r="D131" s="368"/>
      <c r="E131" s="290"/>
      <c r="F131" s="533"/>
      <c r="G131" s="287">
        <f t="shared" si="14"/>
        <v>10000</v>
      </c>
      <c r="H131" s="524"/>
      <c r="I131" s="524"/>
      <c r="J131" s="524"/>
      <c r="K131" s="527"/>
      <c r="L131" s="524"/>
    </row>
    <row r="132" spans="1:12" x14ac:dyDescent="0.3">
      <c r="A132" s="260">
        <v>93</v>
      </c>
      <c r="B132" s="262">
        <v>129</v>
      </c>
      <c r="C132" s="365">
        <v>44004</v>
      </c>
      <c r="D132" s="368"/>
      <c r="E132" s="290"/>
      <c r="F132" s="533"/>
      <c r="G132" s="287">
        <f t="shared" si="14"/>
        <v>10000</v>
      </c>
      <c r="H132" s="524"/>
      <c r="I132" s="524"/>
      <c r="J132" s="524"/>
      <c r="K132" s="527"/>
      <c r="L132" s="524"/>
    </row>
    <row r="133" spans="1:12" ht="19.5" thickBot="1" x14ac:dyDescent="0.35">
      <c r="A133" s="260">
        <v>94</v>
      </c>
      <c r="B133" s="263">
        <v>130</v>
      </c>
      <c r="C133" s="366">
        <v>44005</v>
      </c>
      <c r="D133" s="369"/>
      <c r="E133" s="293"/>
      <c r="F133" s="534"/>
      <c r="G133" s="287">
        <f t="shared" si="14"/>
        <v>10000</v>
      </c>
      <c r="H133" s="525"/>
      <c r="I133" s="525"/>
      <c r="J133" s="525"/>
      <c r="K133" s="528"/>
      <c r="L133" s="525"/>
    </row>
    <row r="134" spans="1:12" x14ac:dyDescent="0.3">
      <c r="A134" s="260">
        <v>95</v>
      </c>
      <c r="B134" s="261">
        <v>131</v>
      </c>
      <c r="C134" s="364">
        <v>44006</v>
      </c>
      <c r="D134" s="367"/>
      <c r="E134" s="286"/>
      <c r="F134" s="532">
        <f>SUM(E134:E143)</f>
        <v>0</v>
      </c>
      <c r="G134" s="287">
        <f>H$134/10</f>
        <v>8000</v>
      </c>
      <c r="H134" s="523">
        <v>80000</v>
      </c>
      <c r="I134" s="523"/>
      <c r="J134" s="523"/>
      <c r="K134" s="526">
        <f>H134/SUM(H64+H74+H124+H114+H104+H94+H84-I124-I114-I104-I94-J124-J114-J104-J94-I84-J84-I74-J74-I64-J64)</f>
        <v>6.4000000000000001E-2</v>
      </c>
      <c r="L134" s="523">
        <f>H134*0.05</f>
        <v>4000</v>
      </c>
    </row>
    <row r="135" spans="1:12" x14ac:dyDescent="0.3">
      <c r="A135" s="260">
        <v>96</v>
      </c>
      <c r="B135" s="262">
        <v>132</v>
      </c>
      <c r="C135" s="365">
        <v>44007</v>
      </c>
      <c r="D135" s="368"/>
      <c r="E135" s="290"/>
      <c r="F135" s="533"/>
      <c r="G135" s="287">
        <f t="shared" ref="G135:G143" si="15">H$134/10</f>
        <v>8000</v>
      </c>
      <c r="H135" s="524"/>
      <c r="I135" s="524"/>
      <c r="J135" s="524"/>
      <c r="K135" s="527"/>
      <c r="L135" s="524"/>
    </row>
    <row r="136" spans="1:12" x14ac:dyDescent="0.3">
      <c r="A136" s="260">
        <v>97</v>
      </c>
      <c r="B136" s="262">
        <v>133</v>
      </c>
      <c r="C136" s="365">
        <v>44008</v>
      </c>
      <c r="D136" s="368"/>
      <c r="E136" s="290"/>
      <c r="F136" s="533"/>
      <c r="G136" s="287">
        <f t="shared" si="15"/>
        <v>8000</v>
      </c>
      <c r="H136" s="524"/>
      <c r="I136" s="524"/>
      <c r="J136" s="524"/>
      <c r="K136" s="527"/>
      <c r="L136" s="524"/>
    </row>
    <row r="137" spans="1:12" x14ac:dyDescent="0.3">
      <c r="A137" s="260">
        <v>98</v>
      </c>
      <c r="B137" s="262">
        <v>134</v>
      </c>
      <c r="C137" s="365">
        <v>44009</v>
      </c>
      <c r="D137" s="368"/>
      <c r="E137" s="290"/>
      <c r="F137" s="533"/>
      <c r="G137" s="287">
        <f t="shared" si="15"/>
        <v>8000</v>
      </c>
      <c r="H137" s="524"/>
      <c r="I137" s="524"/>
      <c r="J137" s="524"/>
      <c r="K137" s="527"/>
      <c r="L137" s="524"/>
    </row>
    <row r="138" spans="1:12" x14ac:dyDescent="0.3">
      <c r="A138" s="260">
        <v>99</v>
      </c>
      <c r="B138" s="262">
        <v>135</v>
      </c>
      <c r="C138" s="365">
        <v>44010</v>
      </c>
      <c r="D138" s="368"/>
      <c r="E138" s="290"/>
      <c r="F138" s="533"/>
      <c r="G138" s="287">
        <f t="shared" si="15"/>
        <v>8000</v>
      </c>
      <c r="H138" s="524"/>
      <c r="I138" s="524"/>
      <c r="J138" s="524"/>
      <c r="K138" s="527"/>
      <c r="L138" s="524"/>
    </row>
    <row r="139" spans="1:12" x14ac:dyDescent="0.3">
      <c r="A139" s="260">
        <v>100</v>
      </c>
      <c r="B139" s="262">
        <v>136</v>
      </c>
      <c r="C139" s="365">
        <v>44011</v>
      </c>
      <c r="D139" s="368"/>
      <c r="E139" s="290"/>
      <c r="F139" s="533"/>
      <c r="G139" s="287">
        <f t="shared" si="15"/>
        <v>8000</v>
      </c>
      <c r="H139" s="524"/>
      <c r="I139" s="524"/>
      <c r="J139" s="524"/>
      <c r="K139" s="527"/>
      <c r="L139" s="524"/>
    </row>
    <row r="140" spans="1:12" x14ac:dyDescent="0.3">
      <c r="A140" s="260">
        <v>101</v>
      </c>
      <c r="B140" s="262">
        <v>137</v>
      </c>
      <c r="C140" s="365">
        <v>44012</v>
      </c>
      <c r="D140" s="368"/>
      <c r="E140" s="290"/>
      <c r="F140" s="533"/>
      <c r="G140" s="287">
        <f t="shared" si="15"/>
        <v>8000</v>
      </c>
      <c r="H140" s="524"/>
      <c r="I140" s="524"/>
      <c r="J140" s="524"/>
      <c r="K140" s="527"/>
      <c r="L140" s="524"/>
    </row>
    <row r="141" spans="1:12" x14ac:dyDescent="0.3">
      <c r="A141" s="260">
        <v>102</v>
      </c>
      <c r="B141" s="262">
        <v>138</v>
      </c>
      <c r="C141" s="365">
        <v>44013</v>
      </c>
      <c r="D141" s="368"/>
      <c r="E141" s="290"/>
      <c r="F141" s="533"/>
      <c r="G141" s="287">
        <f t="shared" si="15"/>
        <v>8000</v>
      </c>
      <c r="H141" s="524"/>
      <c r="I141" s="524"/>
      <c r="J141" s="524"/>
      <c r="K141" s="527"/>
      <c r="L141" s="524"/>
    </row>
    <row r="142" spans="1:12" x14ac:dyDescent="0.3">
      <c r="A142" s="260">
        <v>103</v>
      </c>
      <c r="B142" s="262">
        <v>139</v>
      </c>
      <c r="C142" s="365">
        <v>44014</v>
      </c>
      <c r="D142" s="368"/>
      <c r="E142" s="290"/>
      <c r="F142" s="533"/>
      <c r="G142" s="287">
        <f t="shared" si="15"/>
        <v>8000</v>
      </c>
      <c r="H142" s="524"/>
      <c r="I142" s="524"/>
      <c r="J142" s="524"/>
      <c r="K142" s="527"/>
      <c r="L142" s="524"/>
    </row>
    <row r="143" spans="1:12" ht="19.5" thickBot="1" x14ac:dyDescent="0.35">
      <c r="A143" s="260">
        <v>104</v>
      </c>
      <c r="B143" s="351">
        <v>140</v>
      </c>
      <c r="C143" s="366">
        <v>44015</v>
      </c>
      <c r="D143" s="369"/>
      <c r="E143" s="293"/>
      <c r="F143" s="534"/>
      <c r="G143" s="287">
        <f t="shared" si="15"/>
        <v>8000</v>
      </c>
      <c r="H143" s="525"/>
      <c r="I143" s="525"/>
      <c r="J143" s="525"/>
      <c r="K143" s="528"/>
      <c r="L143" s="525"/>
    </row>
    <row r="144" spans="1:12" x14ac:dyDescent="0.3">
      <c r="A144" s="260">
        <v>105</v>
      </c>
      <c r="B144" s="261">
        <v>141</v>
      </c>
      <c r="C144" s="364">
        <v>44016</v>
      </c>
      <c r="D144" s="367"/>
      <c r="E144" s="286"/>
      <c r="F144" s="532">
        <f>SUM(E144:E153)</f>
        <v>0</v>
      </c>
      <c r="G144" s="287">
        <f>H$144/10</f>
        <v>5500</v>
      </c>
      <c r="H144" s="523">
        <v>55000</v>
      </c>
      <c r="I144" s="523"/>
      <c r="J144" s="523"/>
      <c r="K144" s="526">
        <f>H144/SUM(H74+H84+H134+H124+H114+H104+H94-I134-I124-I114-I104-J134-J124-J114-J104-I94-J94-I84-J84-I74-J74)</f>
        <v>5.3398058252427182E-2</v>
      </c>
      <c r="L144" s="523">
        <f>H144*0.05</f>
        <v>2750</v>
      </c>
    </row>
    <row r="145" spans="1:12" x14ac:dyDescent="0.3">
      <c r="A145" s="260">
        <v>106</v>
      </c>
      <c r="B145" s="262">
        <v>142</v>
      </c>
      <c r="C145" s="365">
        <v>44017</v>
      </c>
      <c r="D145" s="368"/>
      <c r="E145" s="290"/>
      <c r="F145" s="533"/>
      <c r="G145" s="287">
        <f t="shared" ref="G145:G153" si="16">H$144/10</f>
        <v>5500</v>
      </c>
      <c r="H145" s="524"/>
      <c r="I145" s="524"/>
      <c r="J145" s="524"/>
      <c r="K145" s="527"/>
      <c r="L145" s="524"/>
    </row>
    <row r="146" spans="1:12" x14ac:dyDescent="0.3">
      <c r="A146" s="260">
        <v>107</v>
      </c>
      <c r="B146" s="262">
        <v>143</v>
      </c>
      <c r="C146" s="365">
        <v>44018</v>
      </c>
      <c r="D146" s="368"/>
      <c r="E146" s="290"/>
      <c r="F146" s="533"/>
      <c r="G146" s="287">
        <f t="shared" si="16"/>
        <v>5500</v>
      </c>
      <c r="H146" s="524"/>
      <c r="I146" s="524"/>
      <c r="J146" s="524"/>
      <c r="K146" s="527"/>
      <c r="L146" s="524"/>
    </row>
    <row r="147" spans="1:12" x14ac:dyDescent="0.3">
      <c r="A147" s="260">
        <v>108</v>
      </c>
      <c r="B147" s="262">
        <v>144</v>
      </c>
      <c r="C147" s="365">
        <v>44019</v>
      </c>
      <c r="D147" s="368"/>
      <c r="E147" s="290"/>
      <c r="F147" s="533"/>
      <c r="G147" s="287">
        <f t="shared" si="16"/>
        <v>5500</v>
      </c>
      <c r="H147" s="524"/>
      <c r="I147" s="524"/>
      <c r="J147" s="524"/>
      <c r="K147" s="527"/>
      <c r="L147" s="524"/>
    </row>
    <row r="148" spans="1:12" x14ac:dyDescent="0.3">
      <c r="A148" s="260">
        <v>109</v>
      </c>
      <c r="B148" s="262">
        <v>145</v>
      </c>
      <c r="C148" s="365">
        <v>44020</v>
      </c>
      <c r="D148" s="368"/>
      <c r="E148" s="290"/>
      <c r="F148" s="533"/>
      <c r="G148" s="287">
        <f t="shared" si="16"/>
        <v>5500</v>
      </c>
      <c r="H148" s="524"/>
      <c r="I148" s="524"/>
      <c r="J148" s="524"/>
      <c r="K148" s="527"/>
      <c r="L148" s="524"/>
    </row>
    <row r="149" spans="1:12" x14ac:dyDescent="0.3">
      <c r="A149" s="260">
        <v>110</v>
      </c>
      <c r="B149" s="262">
        <v>146</v>
      </c>
      <c r="C149" s="365">
        <v>44021</v>
      </c>
      <c r="D149" s="368"/>
      <c r="E149" s="290"/>
      <c r="F149" s="533"/>
      <c r="G149" s="287">
        <f t="shared" si="16"/>
        <v>5500</v>
      </c>
      <c r="H149" s="524"/>
      <c r="I149" s="524"/>
      <c r="J149" s="524"/>
      <c r="K149" s="527"/>
      <c r="L149" s="524"/>
    </row>
    <row r="150" spans="1:12" x14ac:dyDescent="0.3">
      <c r="A150" s="260">
        <v>111</v>
      </c>
      <c r="B150" s="262">
        <v>147</v>
      </c>
      <c r="C150" s="365">
        <v>44022</v>
      </c>
      <c r="D150" s="368"/>
      <c r="E150" s="290"/>
      <c r="F150" s="533"/>
      <c r="G150" s="287">
        <f t="shared" si="16"/>
        <v>5500</v>
      </c>
      <c r="H150" s="524"/>
      <c r="I150" s="524"/>
      <c r="J150" s="524"/>
      <c r="K150" s="527"/>
      <c r="L150" s="524"/>
    </row>
    <row r="151" spans="1:12" x14ac:dyDescent="0.3">
      <c r="A151" s="260">
        <v>112</v>
      </c>
      <c r="B151" s="262">
        <v>148</v>
      </c>
      <c r="C151" s="365">
        <v>44023</v>
      </c>
      <c r="D151" s="368"/>
      <c r="E151" s="290"/>
      <c r="F151" s="533"/>
      <c r="G151" s="287">
        <f t="shared" si="16"/>
        <v>5500</v>
      </c>
      <c r="H151" s="524"/>
      <c r="I151" s="524"/>
      <c r="J151" s="524"/>
      <c r="K151" s="527"/>
      <c r="L151" s="524"/>
    </row>
    <row r="152" spans="1:12" x14ac:dyDescent="0.3">
      <c r="A152" s="260">
        <v>113</v>
      </c>
      <c r="B152" s="262">
        <v>149</v>
      </c>
      <c r="C152" s="365">
        <v>44024</v>
      </c>
      <c r="D152" s="368"/>
      <c r="E152" s="290"/>
      <c r="F152" s="533"/>
      <c r="G152" s="287">
        <f t="shared" si="16"/>
        <v>5500</v>
      </c>
      <c r="H152" s="524"/>
      <c r="I152" s="524"/>
      <c r="J152" s="524"/>
      <c r="K152" s="527"/>
      <c r="L152" s="524"/>
    </row>
    <row r="153" spans="1:12" ht="19.5" thickBot="1" x14ac:dyDescent="0.35">
      <c r="A153" s="260">
        <v>114</v>
      </c>
      <c r="B153" s="263">
        <v>150</v>
      </c>
      <c r="C153" s="366">
        <v>44025</v>
      </c>
      <c r="D153" s="369"/>
      <c r="E153" s="293"/>
      <c r="F153" s="534"/>
      <c r="G153" s="287">
        <f t="shared" si="16"/>
        <v>5500</v>
      </c>
      <c r="H153" s="525"/>
      <c r="I153" s="525"/>
      <c r="J153" s="525"/>
      <c r="K153" s="528"/>
      <c r="L153" s="525"/>
    </row>
    <row r="154" spans="1:12" x14ac:dyDescent="0.3">
      <c r="A154" s="260">
        <v>115</v>
      </c>
      <c r="B154" s="261">
        <v>151</v>
      </c>
      <c r="C154" s="364">
        <v>44026</v>
      </c>
      <c r="D154" s="367"/>
      <c r="E154" s="286"/>
      <c r="F154" s="532">
        <f>SUM(E154:E163)</f>
        <v>0</v>
      </c>
      <c r="G154" s="287">
        <f>H$154/10</f>
        <v>3500</v>
      </c>
      <c r="H154" s="523">
        <v>35000</v>
      </c>
      <c r="I154" s="523"/>
      <c r="J154" s="523"/>
      <c r="K154" s="526">
        <f>H154/SUM(H84+H94+H144+H134+H124+H114+H104-I144-I134-I124-I114-J144-J134-J124-J114-I104-J104-I94-J94-I84-J84)</f>
        <v>4.1916167664670656E-2</v>
      </c>
      <c r="L154" s="523">
        <f>H154*0.05</f>
        <v>1750</v>
      </c>
    </row>
    <row r="155" spans="1:12" x14ac:dyDescent="0.3">
      <c r="A155" s="260">
        <v>116</v>
      </c>
      <c r="B155" s="262">
        <v>152</v>
      </c>
      <c r="C155" s="365">
        <v>44027</v>
      </c>
      <c r="D155" s="368"/>
      <c r="E155" s="290"/>
      <c r="F155" s="533"/>
      <c r="G155" s="287">
        <f t="shared" ref="G155:G163" si="17">H$154/10</f>
        <v>3500</v>
      </c>
      <c r="H155" s="524"/>
      <c r="I155" s="524"/>
      <c r="J155" s="524"/>
      <c r="K155" s="527"/>
      <c r="L155" s="524"/>
    </row>
    <row r="156" spans="1:12" x14ac:dyDescent="0.3">
      <c r="A156" s="260">
        <v>117</v>
      </c>
      <c r="B156" s="262">
        <v>153</v>
      </c>
      <c r="C156" s="365">
        <v>44028</v>
      </c>
      <c r="D156" s="368"/>
      <c r="E156" s="290"/>
      <c r="F156" s="533"/>
      <c r="G156" s="287">
        <f t="shared" si="17"/>
        <v>3500</v>
      </c>
      <c r="H156" s="524"/>
      <c r="I156" s="524"/>
      <c r="J156" s="524"/>
      <c r="K156" s="527"/>
      <c r="L156" s="524"/>
    </row>
    <row r="157" spans="1:12" x14ac:dyDescent="0.3">
      <c r="A157" s="260">
        <v>118</v>
      </c>
      <c r="B157" s="262">
        <v>154</v>
      </c>
      <c r="C157" s="365">
        <v>44029</v>
      </c>
      <c r="D157" s="368"/>
      <c r="E157" s="290"/>
      <c r="F157" s="533"/>
      <c r="G157" s="287">
        <f t="shared" si="17"/>
        <v>3500</v>
      </c>
      <c r="H157" s="524"/>
      <c r="I157" s="524"/>
      <c r="J157" s="524"/>
      <c r="K157" s="527"/>
      <c r="L157" s="524"/>
    </row>
    <row r="158" spans="1:12" x14ac:dyDescent="0.3">
      <c r="A158" s="260">
        <v>119</v>
      </c>
      <c r="B158" s="262">
        <v>155</v>
      </c>
      <c r="C158" s="365">
        <v>44030</v>
      </c>
      <c r="D158" s="368"/>
      <c r="E158" s="290"/>
      <c r="F158" s="533"/>
      <c r="G158" s="287">
        <f t="shared" si="17"/>
        <v>3500</v>
      </c>
      <c r="H158" s="524"/>
      <c r="I158" s="524"/>
      <c r="J158" s="524"/>
      <c r="K158" s="527"/>
      <c r="L158" s="524"/>
    </row>
    <row r="159" spans="1:12" x14ac:dyDescent="0.3">
      <c r="A159" s="260">
        <v>120</v>
      </c>
      <c r="B159" s="262">
        <v>156</v>
      </c>
      <c r="C159" s="365">
        <v>44031</v>
      </c>
      <c r="D159" s="368"/>
      <c r="E159" s="290"/>
      <c r="F159" s="533"/>
      <c r="G159" s="287">
        <f t="shared" si="17"/>
        <v>3500</v>
      </c>
      <c r="H159" s="524"/>
      <c r="I159" s="524"/>
      <c r="J159" s="524"/>
      <c r="K159" s="527"/>
      <c r="L159" s="524"/>
    </row>
    <row r="160" spans="1:12" x14ac:dyDescent="0.3">
      <c r="A160" s="260">
        <v>121</v>
      </c>
      <c r="B160" s="262">
        <v>157</v>
      </c>
      <c r="C160" s="365">
        <v>44032</v>
      </c>
      <c r="D160" s="368"/>
      <c r="E160" s="290"/>
      <c r="F160" s="533"/>
      <c r="G160" s="287">
        <f t="shared" si="17"/>
        <v>3500</v>
      </c>
      <c r="H160" s="524"/>
      <c r="I160" s="524"/>
      <c r="J160" s="524"/>
      <c r="K160" s="527"/>
      <c r="L160" s="524"/>
    </row>
    <row r="161" spans="1:12" x14ac:dyDescent="0.3">
      <c r="A161" s="260">
        <v>122</v>
      </c>
      <c r="B161" s="262">
        <v>158</v>
      </c>
      <c r="C161" s="365">
        <v>44033</v>
      </c>
      <c r="D161" s="368"/>
      <c r="E161" s="290"/>
      <c r="F161" s="533"/>
      <c r="G161" s="287">
        <f t="shared" si="17"/>
        <v>3500</v>
      </c>
      <c r="H161" s="524"/>
      <c r="I161" s="524"/>
      <c r="J161" s="524"/>
      <c r="K161" s="527"/>
      <c r="L161" s="524"/>
    </row>
    <row r="162" spans="1:12" x14ac:dyDescent="0.3">
      <c r="A162" s="260">
        <v>123</v>
      </c>
      <c r="B162" s="262">
        <v>159</v>
      </c>
      <c r="C162" s="365">
        <v>44034</v>
      </c>
      <c r="D162" s="368"/>
      <c r="E162" s="290"/>
      <c r="F162" s="533"/>
      <c r="G162" s="287">
        <f t="shared" si="17"/>
        <v>3500</v>
      </c>
      <c r="H162" s="524"/>
      <c r="I162" s="524"/>
      <c r="J162" s="524"/>
      <c r="K162" s="527"/>
      <c r="L162" s="524"/>
    </row>
    <row r="163" spans="1:12" ht="19.5" thickBot="1" x14ac:dyDescent="0.35">
      <c r="A163" s="260">
        <v>124</v>
      </c>
      <c r="B163" s="263">
        <v>160</v>
      </c>
      <c r="C163" s="366">
        <v>44035</v>
      </c>
      <c r="D163" s="369"/>
      <c r="E163" s="293"/>
      <c r="F163" s="534"/>
      <c r="G163" s="287">
        <f t="shared" si="17"/>
        <v>3500</v>
      </c>
      <c r="H163" s="525"/>
      <c r="I163" s="525"/>
      <c r="J163" s="525"/>
      <c r="K163" s="528"/>
      <c r="L163" s="525"/>
    </row>
    <row r="164" spans="1:12" x14ac:dyDescent="0.3">
      <c r="A164" s="260">
        <v>125</v>
      </c>
      <c r="B164" s="261">
        <v>151</v>
      </c>
      <c r="C164" s="364">
        <v>44026</v>
      </c>
      <c r="D164" s="367"/>
      <c r="E164" s="286"/>
      <c r="F164" s="532">
        <f>SUM(E164:E173)</f>
        <v>0</v>
      </c>
      <c r="G164" s="287">
        <f>H$164/10</f>
        <v>2000</v>
      </c>
      <c r="H164" s="523">
        <v>20000</v>
      </c>
      <c r="I164" s="523"/>
      <c r="J164" s="523"/>
      <c r="K164" s="526">
        <f>H164/SUM(H94+H104+H154+H144+H134+H124+H114-I154-I144-I134-I124-J154-J144-J134-J124-I114-J114-I104-J104-I94-J94)</f>
        <v>2.9850746268656716E-2</v>
      </c>
      <c r="L164" s="523">
        <f>H164*0.05</f>
        <v>1000</v>
      </c>
    </row>
    <row r="165" spans="1:12" x14ac:dyDescent="0.3">
      <c r="A165" s="260">
        <v>126</v>
      </c>
      <c r="B165" s="262">
        <v>152</v>
      </c>
      <c r="C165" s="365">
        <v>44027</v>
      </c>
      <c r="D165" s="368"/>
      <c r="E165" s="290"/>
      <c r="F165" s="533"/>
      <c r="G165" s="287">
        <f t="shared" ref="G165:G173" si="18">H$164/10</f>
        <v>2000</v>
      </c>
      <c r="H165" s="524"/>
      <c r="I165" s="524"/>
      <c r="J165" s="524"/>
      <c r="K165" s="527"/>
      <c r="L165" s="524"/>
    </row>
    <row r="166" spans="1:12" x14ac:dyDescent="0.3">
      <c r="A166" s="260">
        <v>127</v>
      </c>
      <c r="B166" s="262">
        <v>153</v>
      </c>
      <c r="C166" s="365">
        <v>44028</v>
      </c>
      <c r="D166" s="368"/>
      <c r="E166" s="290"/>
      <c r="F166" s="533"/>
      <c r="G166" s="287">
        <f t="shared" si="18"/>
        <v>2000</v>
      </c>
      <c r="H166" s="524"/>
      <c r="I166" s="524"/>
      <c r="J166" s="524"/>
      <c r="K166" s="527"/>
      <c r="L166" s="524"/>
    </row>
    <row r="167" spans="1:12" x14ac:dyDescent="0.3">
      <c r="A167" s="260">
        <v>128</v>
      </c>
      <c r="B167" s="262">
        <v>154</v>
      </c>
      <c r="C167" s="365">
        <v>44029</v>
      </c>
      <c r="D167" s="368"/>
      <c r="E167" s="290"/>
      <c r="F167" s="533"/>
      <c r="G167" s="287">
        <f t="shared" si="18"/>
        <v>2000</v>
      </c>
      <c r="H167" s="524"/>
      <c r="I167" s="524"/>
      <c r="J167" s="524"/>
      <c r="K167" s="527"/>
      <c r="L167" s="524"/>
    </row>
    <row r="168" spans="1:12" x14ac:dyDescent="0.3">
      <c r="A168" s="260">
        <v>129</v>
      </c>
      <c r="B168" s="262">
        <v>155</v>
      </c>
      <c r="C168" s="365">
        <v>44030</v>
      </c>
      <c r="D168" s="368"/>
      <c r="E168" s="290"/>
      <c r="F168" s="533"/>
      <c r="G168" s="287">
        <f t="shared" si="18"/>
        <v>2000</v>
      </c>
      <c r="H168" s="524"/>
      <c r="I168" s="524"/>
      <c r="J168" s="524"/>
      <c r="K168" s="527"/>
      <c r="L168" s="524"/>
    </row>
    <row r="169" spans="1:12" x14ac:dyDescent="0.3">
      <c r="A169" s="260">
        <v>130</v>
      </c>
      <c r="B169" s="262">
        <v>156</v>
      </c>
      <c r="C169" s="365">
        <v>44031</v>
      </c>
      <c r="D169" s="368"/>
      <c r="E169" s="290"/>
      <c r="F169" s="533"/>
      <c r="G169" s="287">
        <f t="shared" si="18"/>
        <v>2000</v>
      </c>
      <c r="H169" s="524"/>
      <c r="I169" s="524"/>
      <c r="J169" s="524"/>
      <c r="K169" s="527"/>
      <c r="L169" s="524"/>
    </row>
    <row r="170" spans="1:12" x14ac:dyDescent="0.3">
      <c r="A170" s="260">
        <v>131</v>
      </c>
      <c r="B170" s="262">
        <v>157</v>
      </c>
      <c r="C170" s="365">
        <v>44032</v>
      </c>
      <c r="D170" s="368"/>
      <c r="E170" s="290"/>
      <c r="F170" s="533"/>
      <c r="G170" s="287">
        <f t="shared" si="18"/>
        <v>2000</v>
      </c>
      <c r="H170" s="524"/>
      <c r="I170" s="524"/>
      <c r="J170" s="524"/>
      <c r="K170" s="527"/>
      <c r="L170" s="524"/>
    </row>
    <row r="171" spans="1:12" x14ac:dyDescent="0.3">
      <c r="A171" s="260">
        <v>132</v>
      </c>
      <c r="B171" s="262">
        <v>158</v>
      </c>
      <c r="C171" s="365">
        <v>44033</v>
      </c>
      <c r="D171" s="368"/>
      <c r="E171" s="290"/>
      <c r="F171" s="533"/>
      <c r="G171" s="287">
        <f t="shared" si="18"/>
        <v>2000</v>
      </c>
      <c r="H171" s="524"/>
      <c r="I171" s="524"/>
      <c r="J171" s="524"/>
      <c r="K171" s="527"/>
      <c r="L171" s="524"/>
    </row>
    <row r="172" spans="1:12" x14ac:dyDescent="0.3">
      <c r="A172" s="260">
        <v>133</v>
      </c>
      <c r="B172" s="262">
        <v>159</v>
      </c>
      <c r="C172" s="365">
        <v>44034</v>
      </c>
      <c r="D172" s="368"/>
      <c r="E172" s="290"/>
      <c r="F172" s="533"/>
      <c r="G172" s="287">
        <f t="shared" si="18"/>
        <v>2000</v>
      </c>
      <c r="H172" s="524"/>
      <c r="I172" s="524"/>
      <c r="J172" s="524"/>
      <c r="K172" s="527"/>
      <c r="L172" s="524"/>
    </row>
    <row r="173" spans="1:12" ht="19.5" thickBot="1" x14ac:dyDescent="0.35">
      <c r="A173" s="260">
        <v>134</v>
      </c>
      <c r="B173" s="300">
        <v>160</v>
      </c>
      <c r="C173" s="371">
        <v>44035</v>
      </c>
      <c r="D173" s="372"/>
      <c r="E173" s="303"/>
      <c r="F173" s="533"/>
      <c r="G173" s="287">
        <f t="shared" si="18"/>
        <v>2000</v>
      </c>
      <c r="H173" s="525"/>
      <c r="I173" s="525"/>
      <c r="J173" s="525"/>
      <c r="K173" s="528"/>
      <c r="L173" s="525"/>
    </row>
    <row r="174" spans="1:12" x14ac:dyDescent="0.3">
      <c r="A174" s="260">
        <v>125</v>
      </c>
      <c r="B174" s="261">
        <v>151</v>
      </c>
      <c r="C174" s="373">
        <v>44036</v>
      </c>
      <c r="D174" s="367"/>
      <c r="E174" s="286"/>
      <c r="F174" s="585">
        <f>SUM(E174:E183)</f>
        <v>0</v>
      </c>
      <c r="G174" s="349">
        <f>H$174/10</f>
        <v>700</v>
      </c>
      <c r="H174" s="523">
        <v>7000</v>
      </c>
      <c r="I174" s="523"/>
      <c r="J174" s="523"/>
      <c r="K174" s="526">
        <f>H174/SUM(H104+H114+H164+H154+H144+H134+H124-I164-I154-I144-I134-J164-J154-J144-J134-I124-J124-I114-J114-I104-J104)</f>
        <v>1.2962962962962963E-2</v>
      </c>
      <c r="L174" s="523">
        <f>H174*0.05</f>
        <v>350</v>
      </c>
    </row>
    <row r="175" spans="1:12" x14ac:dyDescent="0.3">
      <c r="A175" s="260">
        <v>126</v>
      </c>
      <c r="B175" s="262">
        <v>152</v>
      </c>
      <c r="C175" s="374">
        <v>44037</v>
      </c>
      <c r="D175" s="368"/>
      <c r="E175" s="290"/>
      <c r="F175" s="585"/>
      <c r="G175" s="349">
        <f t="shared" ref="G175:G183" si="19">H$174/10</f>
        <v>700</v>
      </c>
      <c r="H175" s="524"/>
      <c r="I175" s="524"/>
      <c r="J175" s="524"/>
      <c r="K175" s="527"/>
      <c r="L175" s="524"/>
    </row>
    <row r="176" spans="1:12" x14ac:dyDescent="0.3">
      <c r="A176" s="260">
        <v>127</v>
      </c>
      <c r="B176" s="262">
        <v>153</v>
      </c>
      <c r="C176" s="374">
        <v>44038</v>
      </c>
      <c r="D176" s="368"/>
      <c r="E176" s="290"/>
      <c r="F176" s="585"/>
      <c r="G176" s="349">
        <f t="shared" si="19"/>
        <v>700</v>
      </c>
      <c r="H176" s="524"/>
      <c r="I176" s="524"/>
      <c r="J176" s="524"/>
      <c r="K176" s="527"/>
      <c r="L176" s="524"/>
    </row>
    <row r="177" spans="1:12" x14ac:dyDescent="0.3">
      <c r="A177" s="260">
        <v>128</v>
      </c>
      <c r="B177" s="262">
        <v>154</v>
      </c>
      <c r="C177" s="374">
        <v>44039</v>
      </c>
      <c r="D177" s="368"/>
      <c r="E177" s="290"/>
      <c r="F177" s="585"/>
      <c r="G177" s="349">
        <f t="shared" si="19"/>
        <v>700</v>
      </c>
      <c r="H177" s="524"/>
      <c r="I177" s="524"/>
      <c r="J177" s="524"/>
      <c r="K177" s="527"/>
      <c r="L177" s="524"/>
    </row>
    <row r="178" spans="1:12" x14ac:dyDescent="0.3">
      <c r="A178" s="260">
        <v>129</v>
      </c>
      <c r="B178" s="262">
        <v>155</v>
      </c>
      <c r="C178" s="374">
        <v>44040</v>
      </c>
      <c r="D178" s="368"/>
      <c r="E178" s="290"/>
      <c r="F178" s="585"/>
      <c r="G178" s="349">
        <f t="shared" si="19"/>
        <v>700</v>
      </c>
      <c r="H178" s="524"/>
      <c r="I178" s="524"/>
      <c r="J178" s="524"/>
      <c r="K178" s="527"/>
      <c r="L178" s="524"/>
    </row>
    <row r="179" spans="1:12" x14ac:dyDescent="0.3">
      <c r="A179" s="260">
        <v>130</v>
      </c>
      <c r="B179" s="262">
        <v>156</v>
      </c>
      <c r="C179" s="374">
        <v>44041</v>
      </c>
      <c r="D179" s="368"/>
      <c r="E179" s="290"/>
      <c r="F179" s="585"/>
      <c r="G179" s="349">
        <f t="shared" si="19"/>
        <v>700</v>
      </c>
      <c r="H179" s="524"/>
      <c r="I179" s="524"/>
      <c r="J179" s="524"/>
      <c r="K179" s="527"/>
      <c r="L179" s="524"/>
    </row>
    <row r="180" spans="1:12" x14ac:dyDescent="0.3">
      <c r="A180" s="260">
        <v>131</v>
      </c>
      <c r="B180" s="262">
        <v>157</v>
      </c>
      <c r="C180" s="374">
        <v>44042</v>
      </c>
      <c r="D180" s="368"/>
      <c r="E180" s="290"/>
      <c r="F180" s="585"/>
      <c r="G180" s="349">
        <f t="shared" si="19"/>
        <v>700</v>
      </c>
      <c r="H180" s="524"/>
      <c r="I180" s="524"/>
      <c r="J180" s="524"/>
      <c r="K180" s="527"/>
      <c r="L180" s="524"/>
    </row>
    <row r="181" spans="1:12" x14ac:dyDescent="0.3">
      <c r="A181" s="260">
        <v>132</v>
      </c>
      <c r="B181" s="262">
        <v>158</v>
      </c>
      <c r="C181" s="374">
        <v>44043</v>
      </c>
      <c r="D181" s="368"/>
      <c r="E181" s="290"/>
      <c r="F181" s="585"/>
      <c r="G181" s="349">
        <f t="shared" si="19"/>
        <v>700</v>
      </c>
      <c r="H181" s="524"/>
      <c r="I181" s="524"/>
      <c r="J181" s="524"/>
      <c r="K181" s="527"/>
      <c r="L181" s="524"/>
    </row>
    <row r="182" spans="1:12" x14ac:dyDescent="0.3">
      <c r="A182" s="260">
        <v>133</v>
      </c>
      <c r="B182" s="262">
        <v>159</v>
      </c>
      <c r="C182" s="374">
        <v>44044</v>
      </c>
      <c r="D182" s="368"/>
      <c r="E182" s="290"/>
      <c r="F182" s="585"/>
      <c r="G182" s="349">
        <f t="shared" si="19"/>
        <v>700</v>
      </c>
      <c r="H182" s="524"/>
      <c r="I182" s="524"/>
      <c r="J182" s="524"/>
      <c r="K182" s="527"/>
      <c r="L182" s="524"/>
    </row>
    <row r="183" spans="1:12" ht="19.5" thickBot="1" x14ac:dyDescent="0.35">
      <c r="A183" s="260">
        <v>134</v>
      </c>
      <c r="B183" s="263">
        <v>160</v>
      </c>
      <c r="C183" s="375">
        <v>44045</v>
      </c>
      <c r="D183" s="369"/>
      <c r="E183" s="293"/>
      <c r="F183" s="585"/>
      <c r="G183" s="349">
        <f t="shared" si="19"/>
        <v>700</v>
      </c>
      <c r="H183" s="525"/>
      <c r="I183" s="525"/>
      <c r="J183" s="525"/>
      <c r="K183" s="528"/>
      <c r="L183" s="525"/>
    </row>
    <row r="184" spans="1:12" x14ac:dyDescent="0.3">
      <c r="A184" s="32"/>
      <c r="B184" s="32"/>
      <c r="C184" s="376"/>
      <c r="D184" s="309"/>
      <c r="E184" s="522" t="s">
        <v>24</v>
      </c>
      <c r="F184" s="522"/>
      <c r="G184" s="326">
        <f>SUM(G4:G183)</f>
        <v>2058357</v>
      </c>
      <c r="H184" s="326">
        <f>SUM(H4:H183)</f>
        <v>2058357</v>
      </c>
      <c r="I184" s="311"/>
      <c r="J184" s="311"/>
      <c r="K184" s="312"/>
      <c r="L184" s="313">
        <f>'App.2(ICU-vent. cap)'!F8</f>
        <v>1513.3832352000002</v>
      </c>
    </row>
  </sheetData>
  <mergeCells count="111">
    <mergeCell ref="E184:F184"/>
    <mergeCell ref="F174:F183"/>
    <mergeCell ref="H174:H183"/>
    <mergeCell ref="I174:I183"/>
    <mergeCell ref="J174:J183"/>
    <mergeCell ref="K174:K183"/>
    <mergeCell ref="L174:L183"/>
    <mergeCell ref="F164:F173"/>
    <mergeCell ref="H164:H173"/>
    <mergeCell ref="I164:I173"/>
    <mergeCell ref="J164:J173"/>
    <mergeCell ref="K164:K173"/>
    <mergeCell ref="L164:L173"/>
    <mergeCell ref="F154:F163"/>
    <mergeCell ref="H154:H163"/>
    <mergeCell ref="I154:I163"/>
    <mergeCell ref="J154:J163"/>
    <mergeCell ref="K154:K163"/>
    <mergeCell ref="L154:L163"/>
    <mergeCell ref="F144:F153"/>
    <mergeCell ref="H144:H153"/>
    <mergeCell ref="I144:I153"/>
    <mergeCell ref="J144:J153"/>
    <mergeCell ref="K144:K153"/>
    <mergeCell ref="L144:L153"/>
    <mergeCell ref="F134:F143"/>
    <mergeCell ref="H134:H143"/>
    <mergeCell ref="I134:I143"/>
    <mergeCell ref="J134:J143"/>
    <mergeCell ref="K134:K143"/>
    <mergeCell ref="L134:L143"/>
    <mergeCell ref="F74:F83"/>
    <mergeCell ref="F84:F93"/>
    <mergeCell ref="F94:F103"/>
    <mergeCell ref="F104:F113"/>
    <mergeCell ref="F114:F123"/>
    <mergeCell ref="F124:F133"/>
    <mergeCell ref="H114:H123"/>
    <mergeCell ref="I114:I123"/>
    <mergeCell ref="J114:J123"/>
    <mergeCell ref="K114:K123"/>
    <mergeCell ref="L114:L123"/>
    <mergeCell ref="H124:H133"/>
    <mergeCell ref="I124:I133"/>
    <mergeCell ref="J124:J133"/>
    <mergeCell ref="K124:K133"/>
    <mergeCell ref="L124:L133"/>
    <mergeCell ref="H94:H103"/>
    <mergeCell ref="I94:I103"/>
    <mergeCell ref="J94:J103"/>
    <mergeCell ref="K94:K103"/>
    <mergeCell ref="L94:L103"/>
    <mergeCell ref="H104:H113"/>
    <mergeCell ref="I104:I113"/>
    <mergeCell ref="J104:J113"/>
    <mergeCell ref="K104:K113"/>
    <mergeCell ref="L104:L113"/>
    <mergeCell ref="H74:H83"/>
    <mergeCell ref="I74:I83"/>
    <mergeCell ref="J74:J83"/>
    <mergeCell ref="K74:K83"/>
    <mergeCell ref="L74:L83"/>
    <mergeCell ref="H84:H93"/>
    <mergeCell ref="I84:I93"/>
    <mergeCell ref="J84:J93"/>
    <mergeCell ref="K84:K93"/>
    <mergeCell ref="L84:L93"/>
    <mergeCell ref="F64:F73"/>
    <mergeCell ref="H64:H73"/>
    <mergeCell ref="I64:I73"/>
    <mergeCell ref="J64:J73"/>
    <mergeCell ref="K64:K73"/>
    <mergeCell ref="L64:L73"/>
    <mergeCell ref="F54:F63"/>
    <mergeCell ref="H54:H63"/>
    <mergeCell ref="I54:I63"/>
    <mergeCell ref="J54:J63"/>
    <mergeCell ref="K54:K63"/>
    <mergeCell ref="L54:L63"/>
    <mergeCell ref="F44:F53"/>
    <mergeCell ref="H44:H53"/>
    <mergeCell ref="I44:I53"/>
    <mergeCell ref="J44:J53"/>
    <mergeCell ref="K44:K53"/>
    <mergeCell ref="L44:L53"/>
    <mergeCell ref="F34:F43"/>
    <mergeCell ref="H34:H43"/>
    <mergeCell ref="I34:I43"/>
    <mergeCell ref="J34:J43"/>
    <mergeCell ref="K34:K43"/>
    <mergeCell ref="L34:L43"/>
    <mergeCell ref="A1:L1"/>
    <mergeCell ref="A2:L2"/>
    <mergeCell ref="F4:F13"/>
    <mergeCell ref="H4:H13"/>
    <mergeCell ref="I4:I13"/>
    <mergeCell ref="J4:J13"/>
    <mergeCell ref="K4:K13"/>
    <mergeCell ref="L4:L13"/>
    <mergeCell ref="F24:F33"/>
    <mergeCell ref="H24:H33"/>
    <mergeCell ref="I24:I33"/>
    <mergeCell ref="J24:J33"/>
    <mergeCell ref="K24:K33"/>
    <mergeCell ref="L24:L33"/>
    <mergeCell ref="F14:F23"/>
    <mergeCell ref="H14:H23"/>
    <mergeCell ref="I14:I23"/>
    <mergeCell ref="J14:J23"/>
    <mergeCell ref="K14:K23"/>
    <mergeCell ref="L14:L23"/>
  </mergeCells>
  <printOptions gridLines="1"/>
  <pageMargins left="0" right="0" top="0" bottom="0" header="0" footer="0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zoomScale="70" zoomScaleNormal="70" workbookViewId="0">
      <selection activeCell="A23" sqref="A23:XFD24"/>
    </sheetView>
  </sheetViews>
  <sheetFormatPr defaultRowHeight="18.75" x14ac:dyDescent="0.3"/>
  <cols>
    <col min="1" max="1" width="13.85546875" style="52" bestFit="1" customWidth="1"/>
    <col min="2" max="2" width="17.42578125" style="52" customWidth="1"/>
    <col min="3" max="3" width="17.7109375" style="52" customWidth="1"/>
    <col min="4" max="4" width="28.42578125" style="52" bestFit="1" customWidth="1"/>
    <col min="5" max="5" width="23.5703125" style="52" bestFit="1" customWidth="1"/>
    <col min="6" max="6" width="24.7109375" style="52" bestFit="1" customWidth="1"/>
    <col min="7" max="7" width="22.7109375" style="52" bestFit="1" customWidth="1"/>
    <col min="8" max="8" width="11.28515625" style="52" customWidth="1"/>
    <col min="9" max="9" width="43.7109375" style="22" customWidth="1"/>
    <col min="10" max="10" width="19.28515625" style="22" customWidth="1"/>
    <col min="11" max="11" width="28.42578125" style="22" customWidth="1"/>
    <col min="12" max="12" width="16.42578125" customWidth="1"/>
  </cols>
  <sheetData>
    <row r="1" spans="1:11" s="3" customFormat="1" x14ac:dyDescent="0.3">
      <c r="A1" s="52"/>
      <c r="B1" s="52"/>
      <c r="C1" s="52"/>
      <c r="D1" s="52"/>
      <c r="E1" s="52"/>
      <c r="F1" s="52"/>
      <c r="G1" s="52"/>
      <c r="H1" s="52"/>
      <c r="I1" s="22"/>
      <c r="J1" s="22"/>
      <c r="K1" s="22"/>
    </row>
    <row r="2" spans="1:11" s="3" customFormat="1" x14ac:dyDescent="0.3">
      <c r="A2" s="52"/>
      <c r="B2" s="52"/>
      <c r="C2" s="52"/>
      <c r="D2" s="52"/>
      <c r="E2" s="52"/>
      <c r="F2" s="52"/>
      <c r="G2" s="52"/>
      <c r="H2" s="52"/>
      <c r="I2" s="22"/>
      <c r="J2" s="22"/>
      <c r="K2" s="22"/>
    </row>
    <row r="3" spans="1:11" s="3" customFormat="1" ht="33.75" customHeight="1" x14ac:dyDescent="0.3">
      <c r="A3" s="617" t="s">
        <v>173</v>
      </c>
      <c r="B3" s="618"/>
      <c r="C3" s="618"/>
      <c r="D3" s="619"/>
      <c r="E3" s="52"/>
      <c r="F3" s="22"/>
      <c r="G3" s="22"/>
      <c r="H3" s="22"/>
    </row>
    <row r="4" spans="1:11" ht="49.9" customHeight="1" x14ac:dyDescent="0.3">
      <c r="A4" s="610" t="s">
        <v>174</v>
      </c>
      <c r="B4" s="610"/>
      <c r="C4" s="610"/>
      <c r="D4" s="610"/>
      <c r="E4" s="173"/>
    </row>
    <row r="5" spans="1:11" ht="46.5" customHeight="1" x14ac:dyDescent="0.3">
      <c r="A5" s="377" t="s">
        <v>5</v>
      </c>
      <c r="B5" s="378" t="s">
        <v>86</v>
      </c>
      <c r="C5" s="378" t="s">
        <v>87</v>
      </c>
      <c r="D5" s="379" t="s">
        <v>143</v>
      </c>
      <c r="E5" s="31"/>
      <c r="G5" s="22"/>
      <c r="H5" s="22"/>
      <c r="J5"/>
      <c r="K5"/>
    </row>
    <row r="6" spans="1:11" x14ac:dyDescent="0.3">
      <c r="A6" s="380" t="s">
        <v>2</v>
      </c>
      <c r="B6" s="381">
        <v>3322</v>
      </c>
      <c r="C6" s="381" t="s">
        <v>88</v>
      </c>
      <c r="D6" s="382">
        <f>B6/81620*100%</f>
        <v>4.0700808625336926E-2</v>
      </c>
      <c r="E6" s="31"/>
      <c r="G6" s="22"/>
      <c r="H6" s="22"/>
      <c r="J6"/>
      <c r="K6"/>
    </row>
    <row r="7" spans="1:11" x14ac:dyDescent="0.3">
      <c r="A7" s="380" t="s">
        <v>0</v>
      </c>
      <c r="B7" s="381">
        <v>144</v>
      </c>
      <c r="C7" s="381" t="s">
        <v>135</v>
      </c>
      <c r="D7" s="383">
        <v>3.73E-2</v>
      </c>
      <c r="E7" s="31"/>
      <c r="F7" s="31"/>
      <c r="G7" s="31"/>
    </row>
    <row r="8" spans="1:11" x14ac:dyDescent="0.3">
      <c r="A8" s="380" t="s">
        <v>1</v>
      </c>
      <c r="B8" s="381">
        <v>1107</v>
      </c>
      <c r="C8" s="381" t="s">
        <v>88</v>
      </c>
      <c r="D8" s="382">
        <f>B8/84794</f>
        <v>1.3055168997806449E-2</v>
      </c>
      <c r="E8" s="31"/>
      <c r="F8" s="31"/>
      <c r="G8" s="31"/>
    </row>
    <row r="9" spans="1:11" x14ac:dyDescent="0.3">
      <c r="A9" s="380" t="s">
        <v>3</v>
      </c>
      <c r="B9" s="381">
        <v>294</v>
      </c>
      <c r="C9" s="381" t="s">
        <v>90</v>
      </c>
      <c r="D9" s="383">
        <f>B9/'App.3(Spain)'!D33</f>
        <v>3.6805207811717575E-2</v>
      </c>
      <c r="E9" s="31"/>
      <c r="F9" s="31"/>
      <c r="G9" s="31"/>
    </row>
    <row r="10" spans="1:11" x14ac:dyDescent="0.3">
      <c r="A10" s="380" t="s">
        <v>4</v>
      </c>
      <c r="B10" s="381">
        <v>1331</v>
      </c>
      <c r="C10" s="381" t="s">
        <v>89</v>
      </c>
      <c r="D10" s="382">
        <f>B10/'App.3(France)'!D43</f>
        <v>5.2748385051321685E-2</v>
      </c>
      <c r="E10" s="31"/>
      <c r="F10" s="31"/>
      <c r="G10" s="31"/>
    </row>
    <row r="11" spans="1:11" x14ac:dyDescent="0.3">
      <c r="A11" s="384" t="s">
        <v>21</v>
      </c>
      <c r="B11" s="381">
        <v>6095</v>
      </c>
      <c r="C11" s="381" t="s">
        <v>88</v>
      </c>
      <c r="D11" s="383">
        <f>B11/245380</f>
        <v>2.4839025185426685E-2</v>
      </c>
      <c r="E11" s="31"/>
      <c r="F11" s="31"/>
      <c r="G11" s="31"/>
    </row>
    <row r="12" spans="1:11" s="3" customFormat="1" x14ac:dyDescent="0.3">
      <c r="A12" s="31"/>
      <c r="B12" s="31"/>
      <c r="C12" s="31"/>
      <c r="D12" s="31"/>
      <c r="E12" s="31"/>
      <c r="F12" s="385"/>
      <c r="G12" s="31"/>
      <c r="H12" s="52"/>
      <c r="I12" s="22"/>
      <c r="J12" s="22"/>
      <c r="K12" s="22"/>
    </row>
    <row r="13" spans="1:11" s="3" customFormat="1" ht="57" customHeight="1" x14ac:dyDescent="0.3">
      <c r="A13" s="611" t="s">
        <v>175</v>
      </c>
      <c r="B13" s="611"/>
      <c r="C13" s="611"/>
      <c r="D13" s="31"/>
      <c r="E13" s="31"/>
      <c r="F13" s="385"/>
      <c r="G13" s="31"/>
      <c r="H13" s="52"/>
      <c r="I13" s="22"/>
      <c r="J13" s="22"/>
      <c r="K13" s="22"/>
    </row>
    <row r="14" spans="1:11" s="3" customFormat="1" ht="39.75" customHeight="1" x14ac:dyDescent="0.3">
      <c r="A14" s="377" t="s">
        <v>5</v>
      </c>
      <c r="B14" s="386" t="s">
        <v>144</v>
      </c>
      <c r="C14" s="379" t="s">
        <v>145</v>
      </c>
      <c r="D14" s="31"/>
      <c r="E14" s="31"/>
      <c r="F14" s="385"/>
      <c r="G14" s="31"/>
      <c r="H14" s="52"/>
      <c r="I14" s="22"/>
      <c r="J14" s="22"/>
      <c r="K14" s="22"/>
    </row>
    <row r="15" spans="1:11" s="3" customFormat="1" x14ac:dyDescent="0.3">
      <c r="A15" s="380" t="s">
        <v>2</v>
      </c>
      <c r="B15" s="387">
        <v>4.1500000000000002E-2</v>
      </c>
      <c r="C15" s="388">
        <v>0.95850000000000002</v>
      </c>
      <c r="D15" s="31"/>
      <c r="E15" s="31"/>
      <c r="F15" s="385"/>
      <c r="G15" s="31"/>
      <c r="H15" s="52"/>
      <c r="I15" s="22"/>
      <c r="J15" s="22"/>
      <c r="K15" s="22"/>
    </row>
    <row r="16" spans="1:11" s="3" customFormat="1" x14ac:dyDescent="0.3">
      <c r="A16" s="380" t="s">
        <v>0</v>
      </c>
      <c r="B16" s="389">
        <v>0.42249999999999999</v>
      </c>
      <c r="C16" s="388">
        <v>0.57750000000000001</v>
      </c>
      <c r="D16" s="31"/>
      <c r="E16" s="31"/>
      <c r="F16" s="385"/>
      <c r="G16" s="31"/>
      <c r="H16" s="52"/>
      <c r="I16" s="22"/>
      <c r="J16" s="22"/>
      <c r="K16" s="22"/>
    </row>
    <row r="17" spans="1:11" s="3" customFormat="1" x14ac:dyDescent="0.3">
      <c r="A17" s="380" t="s">
        <v>1</v>
      </c>
      <c r="B17" s="387">
        <v>5.1900000000000002E-2</v>
      </c>
      <c r="C17" s="388">
        <v>0.94810000000000005</v>
      </c>
      <c r="D17" s="31"/>
      <c r="E17" s="31"/>
      <c r="F17" s="385"/>
      <c r="G17" s="31"/>
      <c r="H17" s="52"/>
      <c r="I17" s="22"/>
      <c r="J17" s="22"/>
      <c r="K17" s="22"/>
    </row>
    <row r="18" spans="1:11" s="3" customFormat="1" x14ac:dyDescent="0.3">
      <c r="A18" s="380" t="s">
        <v>3</v>
      </c>
      <c r="B18" s="389">
        <v>0.25879999999999997</v>
      </c>
      <c r="C18" s="388">
        <v>0.74119999999999997</v>
      </c>
      <c r="D18" s="31"/>
      <c r="E18" s="31"/>
      <c r="F18" s="385"/>
      <c r="G18" s="31"/>
      <c r="H18" s="52"/>
      <c r="I18" s="22"/>
      <c r="J18" s="22"/>
      <c r="K18" s="22"/>
    </row>
    <row r="19" spans="1:11" s="3" customFormat="1" x14ac:dyDescent="0.3">
      <c r="A19" s="380" t="s">
        <v>4</v>
      </c>
      <c r="B19" s="389">
        <v>0.32869999999999999</v>
      </c>
      <c r="C19" s="388">
        <v>0.67130000000000001</v>
      </c>
      <c r="D19" s="31"/>
      <c r="E19" s="31"/>
      <c r="F19" s="385"/>
      <c r="G19" s="31"/>
      <c r="H19" s="52"/>
      <c r="I19" s="22"/>
      <c r="J19" s="22"/>
      <c r="K19" s="22"/>
    </row>
    <row r="20" spans="1:11" s="3" customFormat="1" x14ac:dyDescent="0.3">
      <c r="A20" s="384" t="s">
        <v>21</v>
      </c>
      <c r="B20" s="390">
        <f>10384/20695</f>
        <v>0.50176371104131434</v>
      </c>
      <c r="C20" s="391">
        <f>100%-B20</f>
        <v>0.49823628895868566</v>
      </c>
      <c r="D20" s="31"/>
      <c r="E20" s="31"/>
      <c r="F20" s="385"/>
      <c r="G20" s="31"/>
      <c r="H20" s="52"/>
      <c r="I20" s="22"/>
      <c r="J20" s="22"/>
      <c r="K20" s="22"/>
    </row>
    <row r="21" spans="1:11" s="3" customFormat="1" x14ac:dyDescent="0.3">
      <c r="A21" s="385"/>
      <c r="B21" s="408"/>
      <c r="C21" s="407"/>
      <c r="D21" s="31"/>
      <c r="E21" s="31"/>
      <c r="F21" s="385"/>
      <c r="G21" s="31"/>
      <c r="H21" s="52"/>
      <c r="I21" s="22"/>
      <c r="J21" s="22"/>
      <c r="K21" s="22"/>
    </row>
    <row r="22" spans="1:11" s="3" customFormat="1" x14ac:dyDescent="0.3">
      <c r="A22" s="31"/>
      <c r="B22" s="385"/>
      <c r="C22" s="31"/>
      <c r="D22" s="31"/>
      <c r="E22" s="31"/>
      <c r="F22" s="31"/>
      <c r="G22" s="31"/>
      <c r="H22" s="52"/>
      <c r="I22" s="22"/>
      <c r="J22" s="22"/>
      <c r="K22" s="22"/>
    </row>
    <row r="23" spans="1:11" s="3" customFormat="1" x14ac:dyDescent="0.3">
      <c r="A23" s="31"/>
      <c r="B23" s="31"/>
      <c r="C23" s="31"/>
      <c r="D23" s="31"/>
      <c r="E23" s="31"/>
      <c r="F23" s="31"/>
      <c r="G23" s="31"/>
      <c r="H23" s="52"/>
      <c r="I23" s="22"/>
      <c r="J23" s="22"/>
      <c r="K23" s="22"/>
    </row>
    <row r="24" spans="1:11" s="3" customFormat="1" x14ac:dyDescent="0.3">
      <c r="A24" s="385"/>
      <c r="B24" s="408"/>
      <c r="C24" s="407"/>
      <c r="D24" s="31"/>
      <c r="E24" s="31"/>
      <c r="F24" s="385"/>
      <c r="G24" s="31"/>
      <c r="H24" s="52"/>
      <c r="I24" s="22"/>
      <c r="J24" s="22"/>
      <c r="K24" s="22"/>
    </row>
    <row r="25" spans="1:11" x14ac:dyDescent="0.3">
      <c r="A25" s="31"/>
      <c r="B25" s="385"/>
      <c r="C25" s="31"/>
      <c r="D25" s="31"/>
      <c r="E25" s="31"/>
      <c r="F25" s="31"/>
      <c r="G25" s="31"/>
    </row>
    <row r="26" spans="1:11" s="3" customFormat="1" x14ac:dyDescent="0.3">
      <c r="A26" s="31"/>
      <c r="B26" s="31"/>
      <c r="C26" s="31"/>
      <c r="D26" s="31"/>
      <c r="E26" s="31"/>
      <c r="F26" s="31"/>
      <c r="G26" s="31"/>
      <c r="H26" s="52"/>
      <c r="I26" s="22"/>
      <c r="J26" s="22"/>
      <c r="K26" s="22"/>
    </row>
    <row r="27" spans="1:11" ht="56.25" customHeight="1" x14ac:dyDescent="0.3">
      <c r="A27" s="612" t="s">
        <v>176</v>
      </c>
      <c r="B27" s="613"/>
      <c r="C27" s="613"/>
      <c r="D27" s="613"/>
      <c r="E27" s="613"/>
      <c r="F27" s="613"/>
      <c r="G27" s="614"/>
    </row>
    <row r="28" spans="1:11" ht="63.75" customHeight="1" x14ac:dyDescent="0.3">
      <c r="A28" s="392" t="s">
        <v>5</v>
      </c>
      <c r="B28" s="393" t="s">
        <v>45</v>
      </c>
      <c r="C28" s="393" t="s">
        <v>143</v>
      </c>
      <c r="D28" s="393" t="s">
        <v>85</v>
      </c>
      <c r="E28" s="393" t="s">
        <v>19</v>
      </c>
      <c r="F28" s="393" t="s">
        <v>140</v>
      </c>
      <c r="G28" s="393" t="s">
        <v>141</v>
      </c>
    </row>
    <row r="29" spans="1:11" x14ac:dyDescent="0.3">
      <c r="A29" s="384" t="s">
        <v>2</v>
      </c>
      <c r="B29" s="43">
        <v>86000</v>
      </c>
      <c r="C29" s="382">
        <f t="shared" ref="C29:C34" si="0">D6</f>
        <v>4.0700808625336926E-2</v>
      </c>
      <c r="D29" s="43">
        <f t="shared" ref="D29:D34" si="1">C29*B29</f>
        <v>3500.2695417789755</v>
      </c>
      <c r="E29" s="43">
        <v>0</v>
      </c>
      <c r="F29" s="43">
        <f t="shared" ref="F29:F34" si="2">D29+E29</f>
        <v>3500.2695417789755</v>
      </c>
      <c r="G29" s="43">
        <f>F29*2</f>
        <v>7000.539083557951</v>
      </c>
    </row>
    <row r="30" spans="1:11" x14ac:dyDescent="0.3">
      <c r="A30" s="384" t="s">
        <v>0</v>
      </c>
      <c r="B30" s="43">
        <f>'App.3(Italy)'!H134</f>
        <v>266647</v>
      </c>
      <c r="C30" s="382">
        <f t="shared" si="0"/>
        <v>3.73E-2</v>
      </c>
      <c r="D30" s="43">
        <f t="shared" si="1"/>
        <v>9945.9331000000002</v>
      </c>
      <c r="E30" s="43">
        <f>-(8*'App.3(Italy)'!L134)+SUM('App.3(Italy)'!L24:L103)</f>
        <v>17395.4846</v>
      </c>
      <c r="F30" s="43">
        <f t="shared" si="2"/>
        <v>27341.417699999998</v>
      </c>
      <c r="G30" s="43">
        <f>F30*3</f>
        <v>82024.253100000002</v>
      </c>
    </row>
    <row r="31" spans="1:11" x14ac:dyDescent="0.3">
      <c r="A31" s="384" t="s">
        <v>1</v>
      </c>
      <c r="B31" s="43">
        <f>'App.3(Germany)'!G128</f>
        <v>171086.5</v>
      </c>
      <c r="C31" s="382">
        <f t="shared" si="0"/>
        <v>1.3055168997806449E-2</v>
      </c>
      <c r="D31" s="43">
        <f t="shared" si="1"/>
        <v>2233.563170743213</v>
      </c>
      <c r="E31" s="43">
        <v>0</v>
      </c>
      <c r="F31" s="43">
        <f t="shared" si="2"/>
        <v>2233.563170743213</v>
      </c>
      <c r="G31" s="43">
        <f>F31*3</f>
        <v>6700.6895122296391</v>
      </c>
    </row>
    <row r="32" spans="1:11" x14ac:dyDescent="0.3">
      <c r="A32" s="384" t="s">
        <v>3</v>
      </c>
      <c r="B32" s="43">
        <f>'App.3(Spain)'!G154</f>
        <v>333168</v>
      </c>
      <c r="C32" s="382">
        <f t="shared" si="0"/>
        <v>3.6805207811717575E-2</v>
      </c>
      <c r="D32" s="43">
        <f t="shared" si="1"/>
        <v>12262.317476214321</v>
      </c>
      <c r="E32" s="43">
        <f>SUM('App.3(Spain)'!L34:L113)-(8*'App.3(Spain)'!L154)</f>
        <v>7653.4552512000009</v>
      </c>
      <c r="F32" s="43">
        <f t="shared" si="2"/>
        <v>19915.772727414322</v>
      </c>
      <c r="G32" s="43">
        <f>F32*4.5</f>
        <v>89620.97727336445</v>
      </c>
    </row>
    <row r="33" spans="1:7" x14ac:dyDescent="0.3">
      <c r="A33" s="384" t="s">
        <v>4</v>
      </c>
      <c r="B33" s="43">
        <f>'App.3(France)'!G144</f>
        <v>253082</v>
      </c>
      <c r="C33" s="382">
        <f t="shared" si="0"/>
        <v>5.2748385051321685E-2</v>
      </c>
      <c r="D33" s="43">
        <f t="shared" si="1"/>
        <v>13349.666785558595</v>
      </c>
      <c r="E33" s="43">
        <f>SUM('App.3(France)'!L44:L73)-(3*'App.3(France)'!L144)</f>
        <v>2445.8502943999993</v>
      </c>
      <c r="F33" s="43">
        <f t="shared" si="2"/>
        <v>15795.517079958594</v>
      </c>
      <c r="G33" s="43">
        <f>F33*5.5</f>
        <v>86875.343939772269</v>
      </c>
    </row>
    <row r="34" spans="1:7" ht="15.75" customHeight="1" x14ac:dyDescent="0.3">
      <c r="A34" s="384" t="s">
        <v>21</v>
      </c>
      <c r="B34" s="43">
        <f>'App.3(USA)'!G184</f>
        <v>2058357</v>
      </c>
      <c r="C34" s="382">
        <f t="shared" si="0"/>
        <v>2.4839025185426685E-2</v>
      </c>
      <c r="D34" s="43">
        <f t="shared" si="1"/>
        <v>51127.581363599318</v>
      </c>
      <c r="E34" s="43">
        <v>0</v>
      </c>
      <c r="F34" s="43">
        <f t="shared" si="2"/>
        <v>51127.581363599318</v>
      </c>
      <c r="G34" s="43">
        <f>F34*7</f>
        <v>357893.06954519521</v>
      </c>
    </row>
    <row r="35" spans="1:7" ht="59.25" customHeight="1" thickBot="1" x14ac:dyDescent="0.35">
      <c r="A35" s="392" t="s">
        <v>5</v>
      </c>
      <c r="B35" s="393" t="s">
        <v>169</v>
      </c>
      <c r="C35" s="393" t="s">
        <v>170</v>
      </c>
      <c r="D35" s="393" t="s">
        <v>142</v>
      </c>
      <c r="F35" s="31"/>
      <c r="G35" s="31"/>
    </row>
    <row r="36" spans="1:7" ht="19.5" thickBot="1" x14ac:dyDescent="0.35">
      <c r="A36" s="384" t="s">
        <v>2</v>
      </c>
      <c r="B36" s="394">
        <f t="shared" ref="B36:B41" si="3">F29/B29</f>
        <v>4.0700808625336926E-2</v>
      </c>
      <c r="C36" s="394">
        <f t="shared" ref="C36:C41" si="4">G29/B29</f>
        <v>8.1401617250673852E-2</v>
      </c>
      <c r="D36" s="395">
        <f>B29/'App.2(ICU-vent. cap)'!C5*100000</f>
        <v>5.9750280954158299</v>
      </c>
      <c r="F36" s="615" t="s">
        <v>44</v>
      </c>
      <c r="G36" s="616"/>
    </row>
    <row r="37" spans="1:7" x14ac:dyDescent="0.3">
      <c r="A37" s="384" t="s">
        <v>0</v>
      </c>
      <c r="B37" s="396">
        <f t="shared" si="3"/>
        <v>0.10253787854354258</v>
      </c>
      <c r="C37" s="396">
        <f t="shared" si="4"/>
        <v>0.30761363563062777</v>
      </c>
      <c r="D37" s="397">
        <f>B30/'App.2(ICU-vent. cap)'!C9*100000</f>
        <v>440.83373516914224</v>
      </c>
      <c r="F37" s="398" t="s">
        <v>17</v>
      </c>
      <c r="G37" s="399" t="s">
        <v>8</v>
      </c>
    </row>
    <row r="38" spans="1:7" x14ac:dyDescent="0.3">
      <c r="A38" s="384" t="s">
        <v>1</v>
      </c>
      <c r="B38" s="400">
        <f t="shared" si="3"/>
        <v>1.3055168997806449E-2</v>
      </c>
      <c r="C38" s="400">
        <f t="shared" si="4"/>
        <v>3.9165506993419349E-2</v>
      </c>
      <c r="D38" s="401">
        <f>B31/'App.2(ICU-vent. cap)'!C6*100000</f>
        <v>204.38766662149712</v>
      </c>
      <c r="F38" s="402" t="s">
        <v>13</v>
      </c>
      <c r="G38" s="403" t="s">
        <v>6</v>
      </c>
    </row>
    <row r="39" spans="1:7" ht="19.5" thickBot="1" x14ac:dyDescent="0.35">
      <c r="A39" s="384" t="s">
        <v>3</v>
      </c>
      <c r="B39" s="396">
        <f t="shared" si="3"/>
        <v>5.977696755815181E-2</v>
      </c>
      <c r="C39" s="396">
        <f t="shared" si="4"/>
        <v>0.26899635401168315</v>
      </c>
      <c r="D39" s="397">
        <f>B32/'App.2(ICU-vent. cap)'!C7*100000</f>
        <v>712.66425044862376</v>
      </c>
      <c r="F39" s="404" t="s">
        <v>14</v>
      </c>
      <c r="G39" s="405" t="s">
        <v>7</v>
      </c>
    </row>
    <row r="40" spans="1:7" x14ac:dyDescent="0.3">
      <c r="A40" s="384" t="s">
        <v>4</v>
      </c>
      <c r="B40" s="396">
        <f t="shared" si="3"/>
        <v>6.2412645229445771E-2</v>
      </c>
      <c r="C40" s="396">
        <f t="shared" si="4"/>
        <v>0.34326954876195176</v>
      </c>
      <c r="D40" s="397">
        <f>B33/'App.2(ICU-vent. cap)'!C8*100000</f>
        <v>387.97194679007106</v>
      </c>
      <c r="F40" s="31"/>
      <c r="G40" s="31"/>
    </row>
    <row r="41" spans="1:7" x14ac:dyDescent="0.3">
      <c r="A41" s="384" t="s">
        <v>21</v>
      </c>
      <c r="B41" s="400">
        <f t="shared" si="3"/>
        <v>2.4839025185426685E-2</v>
      </c>
      <c r="C41" s="394">
        <f t="shared" si="4"/>
        <v>0.17387317629798679</v>
      </c>
      <c r="D41" s="406">
        <f>B34/'App.2(ICU-vent. cap)'!C10*100000</f>
        <v>624.81064660729226</v>
      </c>
      <c r="E41" s="31"/>
      <c r="F41" s="31"/>
      <c r="G41" s="31"/>
    </row>
  </sheetData>
  <mergeCells count="5">
    <mergeCell ref="A4:D4"/>
    <mergeCell ref="A13:C13"/>
    <mergeCell ref="A27:G27"/>
    <mergeCell ref="F36:G36"/>
    <mergeCell ref="A3:D3"/>
  </mergeCells>
  <printOptions gridLines="1"/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App.1(TRA)</vt:lpstr>
      <vt:lpstr>App.2(ICU-vent. cap)</vt:lpstr>
      <vt:lpstr>App.3(China)</vt:lpstr>
      <vt:lpstr>App.3(Italy)</vt:lpstr>
      <vt:lpstr>App.3(Germany)</vt:lpstr>
      <vt:lpstr>App.3(Spain)</vt:lpstr>
      <vt:lpstr>App.3(France)</vt:lpstr>
      <vt:lpstr>App.3(USA)</vt:lpstr>
      <vt:lpstr>App.4(TFR)</vt:lpstr>
      <vt:lpstr>Forecast Graphs</vt:lpstr>
      <vt:lpstr>'App.1(TRA)'!Print_Area</vt:lpstr>
      <vt:lpstr>'App.2(ICU-vent. cap)'!Print_Area</vt:lpstr>
      <vt:lpstr>'App.3(China)'!Print_Area</vt:lpstr>
      <vt:lpstr>'App.3(France)'!Print_Area</vt:lpstr>
      <vt:lpstr>'App.3(Germany)'!Print_Area</vt:lpstr>
      <vt:lpstr>'App.3(Italy)'!Print_Area</vt:lpstr>
      <vt:lpstr>'App.3(Spain)'!Print_Area</vt:lpstr>
      <vt:lpstr>'App.3(USA)'!Print_Area</vt:lpstr>
      <vt:lpstr>'App.4(TFR)'!Print_Area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2020-06-02T17:41:32Z</cp:lastPrinted>
  <dcterms:created xsi:type="dcterms:W3CDTF">2020-03-20T12:51:01Z</dcterms:created>
  <dcterms:modified xsi:type="dcterms:W3CDTF">2020-06-03T00:48:59Z</dcterms:modified>
</cp:coreProperties>
</file>